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0" yWindow="0" windowWidth="28800" windowHeight="12480" firstSheet="5" activeTab="9"/>
  </bookViews>
  <sheets>
    <sheet name="รายการระหว่างกัน" sheetId="1" state="hidden" r:id="rId1"/>
    <sheet name="ปก รวม" sheetId="2" r:id="rId2"/>
    <sheet name="งบฐานะการเงิน_รวมพท" sheetId="3" r:id="rId3"/>
    <sheet name="งบรายได้คชจ_รวมพท" sheetId="4" r:id="rId4"/>
    <sheet name="หมายเหตุ 1 รวม" sheetId="5" r:id="rId5"/>
    <sheet name="ปก " sheetId="6" r:id="rId6"/>
    <sheet name="งบฐานะการเงิน_ชม" sheetId="7" r:id="rId7"/>
    <sheet name="งบรายได้คชจ_ชม" sheetId="8" r:id="rId8"/>
    <sheet name="หมายเหตุ 1 ชม" sheetId="9" r:id="rId9"/>
    <sheet name="หมายเหตุ 2-29" sheetId="10" r:id="rId10"/>
    <sheet name="หมายเหตุ 30" sheetId="11" r:id="rId11"/>
    <sheet name="หมายเหตุ 31,32,33" sheetId="12" r:id="rId12"/>
    <sheet name="หมายเหตุ 34" sheetId="13" r:id="rId13"/>
    <sheet name="หมายเหตุ 29" sheetId="14" state="hidden" r:id="rId14"/>
    <sheet name="Sheet1" sheetId="15" state="hidden" r:id="rId15"/>
  </sheets>
  <definedNames>
    <definedName name="_xlnm.Print_Area" localSheetId="6">'งบฐานะการเงิน_ชม'!$A$1:$L$40</definedName>
    <definedName name="_xlnm.Print_Area" localSheetId="2">'งบฐานะการเงิน_รวมพท'!$A$1:$H$40</definedName>
    <definedName name="_xlnm.Print_Area" localSheetId="7">'งบรายได้คชจ_ชม'!$A$1:$M$43</definedName>
    <definedName name="_xlnm.Print_Area" localSheetId="5">'ปก '!$A$1:$H$21</definedName>
    <definedName name="_xlnm.Print_Area" localSheetId="1">'ปก รวม'!$A$1:$H$21</definedName>
    <definedName name="_xlnm.Print_Area" localSheetId="8">'หมายเหตุ 1 ชม'!$A$1:$M$40</definedName>
    <definedName name="_xlnm.Print_Area" localSheetId="9">'หมายเหตุ 2-29'!$A$1:$AR$319</definedName>
    <definedName name="_xlnm.Print_Area" localSheetId="10">'หมายเหตุ 30'!$A$1:$F$54</definedName>
    <definedName name="_xlnm.Print_Area" localSheetId="11">'หมายเหตุ 31,32,33'!$A$1:$F$39</definedName>
    <definedName name="_xlnm.Print_Titles" localSheetId="6">'งบฐานะการเงิน_ชม'!$5:$6</definedName>
    <definedName name="_xlnm.Print_Titles" localSheetId="7">'งบรายได้คชจ_ชม'!$5:$6</definedName>
    <definedName name="_xlnm.Print_Titles" localSheetId="0">'รายการระหว่างกัน'!$1:$1</definedName>
    <definedName name="_xlnm.Print_Titles" localSheetId="9">'หมายเหตุ 2-29'!$4:$4</definedName>
    <definedName name="_xlnm.Print_Titles" localSheetId="10">'หมายเหตุ 30'!$1:$5</definedName>
  </definedNames>
  <calcPr fullCalcOnLoad="1"/>
</workbook>
</file>

<file path=xl/sharedStrings.xml><?xml version="1.0" encoding="utf-8"?>
<sst xmlns="http://schemas.openxmlformats.org/spreadsheetml/2006/main" count="2205" uniqueCount="571">
  <si>
    <t>ปรับปรุงรายการระหว่างกัน</t>
  </si>
  <si>
    <t>ลำดับ</t>
  </si>
  <si>
    <t>รายการ</t>
  </si>
  <si>
    <t>เดบิต</t>
  </si>
  <si>
    <t>เครดิต</t>
  </si>
  <si>
    <t xml:space="preserve"> Dr.หนี้สินระยะยาว-เงินกู้อื่น(ตาก)</t>
  </si>
  <si>
    <t xml:space="preserve">          Cr.ลูกหนี้ระยะยาว-ลูกหนี้ตาก(ส่วนกลาง)</t>
  </si>
  <si>
    <t>บันทีกตัดบัญชีเงินกู้ยืมจากตาก</t>
  </si>
  <si>
    <t xml:space="preserve"> Dr.หนี้สินระยะยาว-เจ้าหนี้อื่น(เชียงราย)</t>
  </si>
  <si>
    <t xml:space="preserve">          Cr.ลูกหนี้ระยะยาว-ลูกหนี้เชียงราย(ส่วนกลาง)</t>
  </si>
  <si>
    <t>บันทึกตัดบัญชีระหว่างกันเชียงราย</t>
  </si>
  <si>
    <t>Dr.เงินรับฝาก-เงินสะสมหน่วยงาน(ส่วนกลาง)</t>
  </si>
  <si>
    <t xml:space="preserve">          Cr.เงินฝากประจำ Interface (ลำปาง)</t>
  </si>
  <si>
    <t xml:space="preserve">              เงินฝากประจำ Interface (น่าน)</t>
  </si>
  <si>
    <t xml:space="preserve">              เงินฝากประจำ Interface (สวก.)</t>
  </si>
  <si>
    <t xml:space="preserve">              สินทรัพย์หมุนเวียนอื่น (เชียงราย)</t>
  </si>
  <si>
    <t xml:space="preserve">              เงินฝากประจำ (ตาก)</t>
  </si>
  <si>
    <t xml:space="preserve">              เงินลงทุนระยะยาว (พิษณุโลก)</t>
  </si>
  <si>
    <t>บันทึกตัดรายการเงินฝากของเขตพื้นที่เพื่อนำลงทุนรวมกัน</t>
  </si>
  <si>
    <t>Dr.รายได้ระหว่างหน่วยงาน-สมทบมทร. A5</t>
  </si>
  <si>
    <t xml:space="preserve">          Cr.ค่าใช้จ่ายระหว่างกัน(ลำปาง)</t>
  </si>
  <si>
    <t xml:space="preserve">              ค่าใช้จ่ายระหว่างกัน(ตาก)</t>
  </si>
  <si>
    <t xml:space="preserve">              ค่าใช้จ่ายอื่น-นำส่งเงินสมทบรายได้ค่าธรรมเนียมการศึกษา 25%(เชียงราย)</t>
  </si>
  <si>
    <t xml:space="preserve">              ค่าใช้จ่ายระหว่างกัน(พิษณุโลก)</t>
  </si>
  <si>
    <t xml:space="preserve">              เงินฝาก Z1 (น่าน)</t>
  </si>
  <si>
    <t>บันทึกตัดเงินสมทบส่วนกลางจากเขตพื้นที่</t>
  </si>
  <si>
    <t>Dr.รายได้ระหว่างกัน(ลำปาง)</t>
  </si>
  <si>
    <t xml:space="preserve">    รายได้ระหว่างกัน(เชียงราย)</t>
  </si>
  <si>
    <t xml:space="preserve">    รายได้ระหว่างกัน(น่าน)</t>
  </si>
  <si>
    <t xml:space="preserve">    รายได้ระหว่างกัน(ตาก)</t>
  </si>
  <si>
    <t xml:space="preserve">    รายได้ระหว่างกัน(พิษณุโลก)</t>
  </si>
  <si>
    <t xml:space="preserve">    รายได้ระหว่างกัน(สวก.)</t>
  </si>
  <si>
    <t xml:space="preserve">          Cr.ค่าใช้จ่ายระหว่างกัน(ส่วนกลาง)</t>
  </si>
  <si>
    <t>บันทึกตัดค่าใช้จ่ายระหว่างกันกับเขตพื้นที่</t>
  </si>
  <si>
    <t>Dr.รายได้ระหว่างกัน(ส่วนกลาง-พายัพ)</t>
  </si>
  <si>
    <t>บันทึกค่าใช้จ่ายระหว่างพายัพกับส่วนกลางที่นำมารวมกันแล้ว</t>
  </si>
  <si>
    <t>Dr.รายได้ระหว่างกัน(ส่วนกลาง)</t>
  </si>
  <si>
    <t xml:space="preserve">          Cr.ค่าใช้จ่ายระหว่างกัน(ส่วนกลาง-Cash)</t>
  </si>
  <si>
    <t>บันทึกเงินทดรองที่ระบบCashโอนให้ทางส่วนกลาง</t>
  </si>
  <si>
    <t>Dr.เงินรับฝากระยะสั้น-เงินรับฝากเขตพื้นที่ A3 (ส่วนกลาง)</t>
  </si>
  <si>
    <t xml:space="preserve">    เงินรับฝากระยะสั้น-เงินรับฝากเขตพื้นที่ A4 (ส่วนกลาง)</t>
  </si>
  <si>
    <t xml:space="preserve">    เงินรับฝากระยะสั้น-เงินรับฝากเขตพื้นที่ B12 (ส่วนกลาง)</t>
  </si>
  <si>
    <t xml:space="preserve">    เงินรับฝากระยะสั้น-เงินรับฝากเขตพื้นที่ B10 (ส่วนกลาง)</t>
  </si>
  <si>
    <t xml:space="preserve">             ค่าใช้จ่ายระหว่างกัน (ลำปาง)</t>
  </si>
  <si>
    <t>บันทึกตัดเงินระหว่างกันของระบบCash ที่เป็นเงินรับฝากระหว่างกันของเขตพื้นที่ ลำปาง</t>
  </si>
  <si>
    <t xml:space="preserve">          Cr.เงินฝากกองคลัง Z1 (น่าน)</t>
  </si>
  <si>
    <t>บันทึกตัดเงินระหว่างกันของระบบCash ที่เป็นเงินรับฝากระหว่างกันของเขตพื้นที่ น่าน</t>
  </si>
  <si>
    <t xml:space="preserve">          Cr.เงินฝากกองคลัง Z1 (ตาก)</t>
  </si>
  <si>
    <t>บันทึกตัดเงินระหว่างกันของระบบCash ที่เป็นเงินรับฝากระหว่างกันของเขตพื้นที่ ตาก</t>
  </si>
  <si>
    <t xml:space="preserve">          Cr.เงินฝากกองคลัง Z1 (เชียงราย)</t>
  </si>
  <si>
    <t xml:space="preserve">             ค่าใช้จ่ายระหว่างกัน (เชียงราย)</t>
  </si>
  <si>
    <t>บันทึกตัดเงินระหว่างกันของระบบCash ที่เป็นเงินรับฝากระหว่างกันของเขตพื้นที่ เชียงราย</t>
  </si>
  <si>
    <t xml:space="preserve">          Cr.รายการเทียบเท่าเงินสดอื่น (พิษณุโลก)</t>
  </si>
  <si>
    <t>บันทึกตัดเงินระหว่างกันของระบบCash ที่เป็นเงินรับฝากระหว่างกันของเขตพื้นที่ พิษณุโลก</t>
  </si>
  <si>
    <t>สินทรัพย์</t>
  </si>
  <si>
    <t>หมายเหตุ</t>
  </si>
  <si>
    <t>งบประมาณ</t>
  </si>
  <si>
    <t>ผลประโยชน์</t>
  </si>
  <si>
    <t>(หน่วย:บาท)</t>
  </si>
  <si>
    <t>สินทรัพย์หมุนเวียน</t>
  </si>
  <si>
    <t>เงินสดและรายการเทียบเท่าเงินสด</t>
  </si>
  <si>
    <t>ลูกหนี้ระยะสั้น</t>
  </si>
  <si>
    <t xml:space="preserve">สินทรัพย์หมุนเวียนอื่น </t>
  </si>
  <si>
    <t>รวมสินทรัพย์หมุนเวียน</t>
  </si>
  <si>
    <t>สินทรัพย์ไม่หมุนเวียน</t>
  </si>
  <si>
    <t>เงินลงทุนระยะยาว</t>
  </si>
  <si>
    <t>รวมสินทรัพย์ไม่หมุนเวียน</t>
  </si>
  <si>
    <t>รวมสินทรัพย์ทั้งหมด</t>
  </si>
  <si>
    <t>หนี้สิน</t>
  </si>
  <si>
    <t>หนี้สินหมุนเวียน</t>
  </si>
  <si>
    <t>เจ้าหนี้ระยะสั้น</t>
  </si>
  <si>
    <t>เงินรับฝากระยะสั้น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</si>
  <si>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</si>
  <si>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</si>
  <si>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</si>
  <si>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</si>
  <si>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</si>
  <si>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ทุน</t>
  </si>
  <si>
    <t>บัญชีรายได้สูง(ต่ำ)กว่าค่าใช้จ่ายสะสมยกมา</t>
  </si>
  <si>
    <t>บัญชีรายได้สูง(ต่ำ)กว่าค่าใช้จ่ายสุทธิ</t>
  </si>
  <si>
    <t>รวมหนี้สินและส่วนทุน</t>
  </si>
  <si>
    <t>งบแสดงผลการดำเนินงาน</t>
  </si>
  <si>
    <t>รายได้จากการดำเนินงาน</t>
  </si>
  <si>
    <t>รายได้จากรัฐบาล</t>
  </si>
  <si>
    <t>รายได้จากงบประมาณ</t>
  </si>
  <si>
    <t>รวมรายได้จากรัฐบาล</t>
  </si>
  <si>
    <t>รายได้จากแหล่งอื่น</t>
  </si>
  <si>
    <t>รายได้ค่าธรรมเนียมการศึกษา</t>
  </si>
  <si>
    <t>รายได้จากการขายสินค้าและบริการ</t>
  </si>
  <si>
    <t>รายได้ดอกเบี้ยของหน่วยงาน</t>
  </si>
  <si>
    <t>รายได้ค่าสาธารณูปโภค</t>
  </si>
  <si>
    <t>รายได้อื่น</t>
  </si>
  <si>
    <t>รวมรายได้จากแหล่งอื่น</t>
  </si>
  <si>
    <t>ค่าใช้จ่ายจากการดำเนินงาน</t>
  </si>
  <si>
    <t>ค่าใช้จ่ายด้านบุคลากร</t>
  </si>
  <si>
    <t>ค่าวัสดุ</t>
  </si>
  <si>
    <t>ค่าสาธารณูปโภค</t>
  </si>
  <si>
    <t>ค่าเสื่อมราคาและค่าตัดจำหน่าย</t>
  </si>
  <si>
    <t>ค่าใช้จ่ายอื่น</t>
  </si>
  <si>
    <t>หมายเหตุประกอบงบการเงิน</t>
  </si>
  <si>
    <t>ณ 30 กันยายน 2559</t>
  </si>
  <si>
    <t>รวม</t>
  </si>
  <si>
    <t>พิษณุโลก</t>
  </si>
  <si>
    <t>เงินสดในมือ</t>
  </si>
  <si>
    <t>เงินฝากคลัง</t>
  </si>
  <si>
    <t xml:space="preserve">   รวม เงินสดและรายการเทียบเท่าเงินสด</t>
  </si>
  <si>
    <t xml:space="preserve">   รวม ลูกหนี้ระยะสั้น</t>
  </si>
  <si>
    <t xml:space="preserve">   รวม สินทรัพย์หมุนเวียนอี่น</t>
  </si>
  <si>
    <t xml:space="preserve">   รวม เงินลงทุนระยะยาว</t>
  </si>
  <si>
    <t>ที่ดิน</t>
  </si>
  <si>
    <t xml:space="preserve">   รวม สินทรัพย์ไม่มีตัวตน(สุทธิ)</t>
  </si>
  <si>
    <t>เจ้าหนี้การค้า-บุคคลภายนอก</t>
  </si>
  <si>
    <t>ใบสำคัญค้างจ่าย</t>
  </si>
  <si>
    <t xml:space="preserve">   รวม เจ้าหนี้ระยะสั้น</t>
  </si>
  <si>
    <t>เงินประกันอื่น</t>
  </si>
  <si>
    <t xml:space="preserve">   รวม หนี้สินหมุนเวียนอื่น</t>
  </si>
  <si>
    <t xml:space="preserve">   รวม รายได้ค่าธรรมเนียมการศึกษา</t>
  </si>
  <si>
    <t>รายได้จากงานวิจัย</t>
  </si>
  <si>
    <t xml:space="preserve">   รวม รายได้จากการขายสินค้าและบริการ</t>
  </si>
  <si>
    <t xml:space="preserve">    รวม รายได้ดอกเบี้ยของหน่วยงาน</t>
  </si>
  <si>
    <t xml:space="preserve">    รวม รายได้ค่าสาธารณูปโภค</t>
  </si>
  <si>
    <t xml:space="preserve">   รวม รายได้อื่น</t>
  </si>
  <si>
    <t>เงินเดือน</t>
  </si>
  <si>
    <t>เงินประจำตำแหน่ง</t>
  </si>
  <si>
    <t>ค่าล่วงเวลา</t>
  </si>
  <si>
    <t>ค่าตอบแทนพนักงานราชการ</t>
  </si>
  <si>
    <t>เงินเดือนและค่าจ้างอื่น - พนักงานมหาวิทยาลัย</t>
  </si>
  <si>
    <t>เงินชดเชยสมาชิก กบข.</t>
  </si>
  <si>
    <t>เงินสมทบกองทุนประกันสังคม</t>
  </si>
  <si>
    <t>ค่าเช่าบ้าน</t>
  </si>
  <si>
    <t>ค่าเบี้ยประกันชีวิต</t>
  </si>
  <si>
    <t>ค่าใช้จ่ายบุคลากรอื่น</t>
  </si>
  <si>
    <t>เงินช่วยการศึกษาบุตร</t>
  </si>
  <si>
    <t>บำนาญปกติ</t>
  </si>
  <si>
    <t>เงินบำเหน็จ</t>
  </si>
  <si>
    <t>เงินบำเหน็จตกทอด</t>
  </si>
  <si>
    <t xml:space="preserve">   รวม ค่าใช้จ่ายด้านบุคลากร</t>
  </si>
  <si>
    <t>ค่าตอบแทนอื่น</t>
  </si>
  <si>
    <t>ค่าเชื้อเพลิง</t>
  </si>
  <si>
    <t>ค่าซ่อมแซมและบำรุงรักษา</t>
  </si>
  <si>
    <t>ค่าจ้างเหมาบริการ-บุคคลภายนอก</t>
  </si>
  <si>
    <t>ค่าเบี้ยประกันภัย</t>
  </si>
  <si>
    <t>ค่าใช้จ่ายในการประชุม</t>
  </si>
  <si>
    <t>ค่ารับรองและพิธีการ</t>
  </si>
  <si>
    <t>ค่าประชาสัมพันธ์</t>
  </si>
  <si>
    <t>ค่าครุภัณฑ์มูลค่าต่ำกว่าเกณฑ์</t>
  </si>
  <si>
    <t>ค่าไฟฟ้า</t>
  </si>
  <si>
    <t>ค่าน้ำประปาและบาดาล</t>
  </si>
  <si>
    <t>ค่าโทรศัพท์</t>
  </si>
  <si>
    <t>ค่าบริการสื่อสารและโทรคมนาคม</t>
  </si>
  <si>
    <t xml:space="preserve">   รวม ค่าสาธารณูปโภค</t>
  </si>
  <si>
    <t xml:space="preserve">   รวม  ค่าเสื่อมราคาและค่าตัดจำหน่าย</t>
  </si>
  <si>
    <t>พักเบิกเงินอุดหนุน</t>
  </si>
  <si>
    <t xml:space="preserve">   รวม  ค่าใช้จ่ายอื่น</t>
  </si>
  <si>
    <t>ส่วนของทุน</t>
  </si>
  <si>
    <t>ชื่อบัญชี</t>
  </si>
  <si>
    <t>ชื่อธนาคาร</t>
  </si>
  <si>
    <t>เลขที่บัญชีธนาคาร</t>
  </si>
  <si>
    <t>กสิกรไทย</t>
  </si>
  <si>
    <t>กรุงไทย</t>
  </si>
  <si>
    <t>เงินฝากประเภทออมทรัพย์</t>
  </si>
  <si>
    <t>เงินสะสม มทร.ล้านนา</t>
  </si>
  <si>
    <t xml:space="preserve">มหาวิทยาลัยเทคโนโลยีราชมงคลล้านนา    </t>
  </si>
  <si>
    <t>หมายเหตุที่ 1 - สรุปนโยบายการบัญชีที่สำคัญ</t>
  </si>
  <si>
    <t>1.1  หลักเกณฑ์ในการจัดทำงบการเงิน</t>
  </si>
  <si>
    <t>งบการเงินนี้จัดทำขึ้นตามเกณฑ์คงค้าง  ซึ่งเป็นไปตามข้อกำหนดในหลักการและนโยบายบัญชี สำหรับหน่วยงานภาครัฐ ฉบับที่  2</t>
  </si>
  <si>
    <t>และหนังสือเวียนกรมบัญชีกลางที่ กค 0423.2/ว 410 ลงวันที่ 21 พฤศจิกายน 2551 เรื่องรูปแบบรายงานการเงินของหน่วยงานภาครัฐ</t>
  </si>
  <si>
    <t>1.2  ขอบเขตของข้อมูลในรายงาน</t>
  </si>
  <si>
    <t>รายการที่ปรากฎในงบการเงิน รวมถึงสินทรัพย์ หนี้สิน รายได้ และค่าใช้จ่าย ซึ่งเป็นของรัฐบาลในภาพรวมแต่ให้หน่วยงาน</t>
  </si>
  <si>
    <t xml:space="preserve">เป็นผู้รับผิดชอบในการดูแลรักษาและบริหารจัดการให้แก่รัฐบาล ภายใต้อำนาจหน้าที่ตามกฎหมายและรวมถึงสินทรัพย์ หนี้สิน รายได้ </t>
  </si>
  <si>
    <t>และค่าใช้จ่าย ซึ่งเป็นของหน่วยงานที่ใช้เพื่อประโยชน์ในการดำเนินงานของหน่วยงานเอง ไม่ว่ารายการดังกล่าวจะเป็นรายการที่เกิดจาก</t>
  </si>
  <si>
    <t>เงินในงบประมาณหรือเงินนอกงบประมาณ</t>
  </si>
  <si>
    <t>1.3  การรับรู้รายได้</t>
  </si>
  <si>
    <t>-  รายได้จากเงินงบประมาณรับรู้เมื่อได้รับอนุมัติคำขอเบิกเงินจากกรมบัญชีกลาง</t>
  </si>
  <si>
    <t>-  รายได้เงินนอกงบประมาณรับรู้เมื่อเกิดรายได้</t>
  </si>
  <si>
    <t>-  รายได้แผ่นดินรับรู้เมื่อได้รับเงิน</t>
  </si>
  <si>
    <t xml:space="preserve"> - รายได้แผ่นดินประเภทภาษีแสดงในงบการเงินด้วยยอดสุทธิจากการจ่ายคืนภาษีแล้ว</t>
  </si>
  <si>
    <t xml:space="preserve"> - รายได้แผ่นดินแสดงในหมายเหตุประกอบงบการเงิน</t>
  </si>
  <si>
    <t>1.4  วัสดุคงเหลือ</t>
  </si>
  <si>
    <t>แสดงในราคาทุน และตีราคาวัสดุคงเหลือโดยวิธีเข้าก่อนออกก่อน</t>
  </si>
  <si>
    <t>1.5  เงินลงทุนระยะสั้น</t>
  </si>
  <si>
    <t>แสดงในราคาทุน ส่วนใหญ่เป็นเงินฝากประจำที่มีระยะเวลาไม่เกิน 1 ปี</t>
  </si>
  <si>
    <t>1.6  ที่ดิน  อาคาร  และอุปกรณ์</t>
  </si>
  <si>
    <t>-  ที่ดิน แสดงในราคาประเมิน ส่วนใหญ่เป็นที่ดินราชพัสดุที่อยู่ในความดูแลของกรมธนารักษ์</t>
  </si>
  <si>
    <t>-  อาคาร แสดงในราคาทุนหักค่าเสื่อราคาสะสม ประกอบด้วยอาคารที่หน่วยงานมีกรรมสิทธิและอาคารที่หน่วยงานไม่มีกรรมสิทธิ</t>
  </si>
  <si>
    <t>แต่ได้ครอบครองและนำมาใช้ประโยชน์ในการดำเนินงาน</t>
  </si>
  <si>
    <t>-  อุปกรณ์ แสดงในราคาทุนหักค่าเสื่อมราคาสะสม</t>
  </si>
  <si>
    <t>อุปกรณ์ที่ได้มาก่อนปี 2540 ไม่นำมาบันทึกบัญชี แต่บันทึกไว้ในทะเบียนคุมสินทรัพย์</t>
  </si>
  <si>
    <t>อุปกรณ์ที่ได้มาตั้งแต่ปีงบประมาณ 2540-2545 บันทึกเฉพาะที่มีมูลค่าตั้งแต่ 30,000 บาทขึ้นไป</t>
  </si>
  <si>
    <t>อุปกรณ์ที่ได้มาตั้งแต่ปีงบประมาณ 2546 เป็นต้นไป บันทึกเฉพาะที่มีมูลค่าตั้งแต่ 5,000 บาทขึ้นไป</t>
  </si>
  <si>
    <t>1.7  สินทรัพย์ไม่มีตัวตน</t>
  </si>
  <si>
    <t>แสดงในราคาทุนหักค่าตัดจำหน่ายสะสม</t>
  </si>
  <si>
    <t>1.8  ค่าเสื่อมราคาและค่าตัดจำหน่าย</t>
  </si>
  <si>
    <t>ค่าเสื่อมราคาและค่าตัดจำหน่ายคำนวณจากราคาทุนของอาคารและอุปกรณ์ และสินทรัพย์ไม่มี</t>
  </si>
  <si>
    <t>ตัวตนโดยวิธีเส้นตรง ตามอายุการใช้งานโดยประมาณของสินทรัพย์ ดังนี้</t>
  </si>
  <si>
    <t>อาคารและสิ่งปลูกสร้าง                          15 - 40            ปี</t>
  </si>
  <si>
    <t>หมายเหตุที่ 29 - รายการระหว่างกัน</t>
  </si>
  <si>
    <t xml:space="preserve">มหาวิทยาลัยเทคโนโลยีราชมงคลล้านนา มีหน่วยเบิกจ่ายภายใต้การควบคุมดูแลอยู่ 5 เขตพื้นที่ คือ เชียงราย  ลำปาง น่าน ตาก </t>
  </si>
  <si>
    <t>และพิษณุโลก ร่วมถึงสถาบันวิจัยเทคโนโลยีเกษตร ซึ่งเป็นอีกหน่วยหนึ่งเบิกจ่ายของมหาวิทยาลัยฯ เมื่อเกิดมีรายได้และค่าใช้จ่ายระหว่างกัน</t>
  </si>
  <si>
    <t>จึงต้องตัดรายได้และค่าใช้จ่ายระหว่างกันออก เพื่อไม่ให้เป็นการบันทึกบัญชีซ้ำซ้อนระหว่างกัน</t>
  </si>
  <si>
    <t>รายการระหว่างกัน ปีงบประมาณ 2559</t>
  </si>
  <si>
    <t xml:space="preserve">1. พื้นที่ตากกู้ยืมเงินจากส่วนกลาง </t>
  </si>
  <si>
    <t>บาท</t>
  </si>
  <si>
    <t>2. พื้นที่เชียงรายยืมเงินจากส่วนกลาง</t>
  </si>
  <si>
    <t xml:space="preserve"> - เพื่อปรับปรุงอาคารจากเหตุแผ่นดินไหว</t>
  </si>
  <si>
    <t xml:space="preserve"> - เพื่อนำไปเป็นทุนการศึกษาค้างชำระ</t>
  </si>
  <si>
    <t>3. เงินลงทุนของพื้นที่ที่นำฝากกับส่วนกลาง</t>
  </si>
  <si>
    <t xml:space="preserve"> - พื้นที่เชียงราย</t>
  </si>
  <si>
    <t xml:space="preserve"> - พื้นที่ลำปาง</t>
  </si>
  <si>
    <t xml:space="preserve"> - พื้นที่น่าน</t>
  </si>
  <si>
    <t xml:space="preserve"> - พื้นที่ตาก</t>
  </si>
  <si>
    <t xml:space="preserve"> - พื้นที่พิษณุโลก</t>
  </si>
  <si>
    <t xml:space="preserve"> - พื้นที่สถาบันวิจัยเกษตร</t>
  </si>
  <si>
    <t>4. พื้นที่จ่ายสมทบส่วนกลาง</t>
  </si>
  <si>
    <t>5. ค่าใช้จ่ายระหว่างกันกับเขตพื้นที่</t>
  </si>
  <si>
    <t>รายได้แผ่นดินที่จัดเก็บ</t>
  </si>
  <si>
    <t>หมายเหตุที่ 2. เงินสดและรายการเทียบเท่าเงินสด</t>
  </si>
  <si>
    <t>หมายเหตุที่ 3. ลูกหนี้ระยะสั้น</t>
  </si>
  <si>
    <t>รวมส่วนทุน</t>
  </si>
  <si>
    <t>ค่าจ้าง</t>
  </si>
  <si>
    <t>บำนาญพิเศษ</t>
  </si>
  <si>
    <t>บำเหน็จดำรงชีพ</t>
  </si>
  <si>
    <t>ค่าบริการไปรษณีย์</t>
  </si>
  <si>
    <t>ค่าเช่าเบ็ดเตล็ด-บุคคลภายนอก</t>
  </si>
  <si>
    <t>ค่าใช้สอยอื่น ๆ</t>
  </si>
  <si>
    <t>พักรับเงินอุดหนุน</t>
  </si>
  <si>
    <t>รายได้ค่าปรับ</t>
  </si>
  <si>
    <t>รายได้งบบุคลากรจากรัฐบาล</t>
  </si>
  <si>
    <t>รายได้งบลงทุนจากรัฐบาล</t>
  </si>
  <si>
    <t>รายได้งบดำเนินงานจากรัฐบาล</t>
  </si>
  <si>
    <t>รายได้งบอุดหนุนจากรัฐบาล</t>
  </si>
  <si>
    <t>รายได้งบรายจ่ายอื่นจากรัฐบาล</t>
  </si>
  <si>
    <t>รายได้งบกลางจากรัฐบาล</t>
  </si>
  <si>
    <t>รายได้ค่าเช่าอสังหาริมทรัยพ์ - บุคคลภายนอก</t>
  </si>
  <si>
    <t>รายได้ค่าเช่าอื่น - บุคคลภายนอก</t>
  </si>
  <si>
    <t>รายได้จากการขายสินค้า - บุคคลภายนอก</t>
  </si>
  <si>
    <t>รายได้จากการให้บริการ - บุคคลภายนอก</t>
  </si>
  <si>
    <t>รายได้ดอกเบี้ยเงินฝากจากสถาบันการเงิน</t>
  </si>
  <si>
    <t xml:space="preserve">   รวม ค่าใช้จ่ายในการฝึกอบรม</t>
  </si>
  <si>
    <t>เงินช่วยเหลือรายเดือนผู้รับเบี้ยหวัดบำนาญ</t>
  </si>
  <si>
    <t>เงินช่วยค่าครองชีพผู้รับเบี้ยหวัดบำนาญ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</si>
  <si>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</si>
  <si>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</si>
  <si>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ค่ารักษาพยาบาลผู้ป่วยใน-รพ.เอกชน-เบี้ยหวัด/บำนาญ</t>
  </si>
  <si>
    <t xml:space="preserve">   รวม ค่าใช้จ่ายในการเดินทาง</t>
  </si>
  <si>
    <t xml:space="preserve">   รวม ค่าวัสดุและใช้สอย</t>
  </si>
  <si>
    <t xml:space="preserve">   รวม ค่าบำเหน็จบำนาญ</t>
  </si>
  <si>
    <t>ค่าจ้างเหมาบริการ-หน่วยงานภาครัฐ</t>
  </si>
  <si>
    <t>ค่าตอบแทนตามตำแหน่ง</t>
  </si>
  <si>
    <t>เงินประจำตำแหน่งพิเศษและเงินเพิ่ม</t>
  </si>
  <si>
    <t>ค่าธรรมเนียมทางกฎหมาย</t>
  </si>
  <si>
    <t>ค่าวิจัยและพัฒนา-บุคคลภายนอก</t>
  </si>
  <si>
    <t>บัญชีค่าใช้จ่ายอื่น</t>
  </si>
  <si>
    <t>ทุนของหน่วยงาน</t>
  </si>
  <si>
    <t>บัญชีรายได้สูง/(ต่ำ)กว่าค่าใช้จ่ายสุทธิ</t>
  </si>
  <si>
    <t>บัญชีรายได้สูง/(ต่ำ)กว่าค่าใช้จ่ายสะสมยกมา</t>
  </si>
  <si>
    <t xml:space="preserve">   รวม ส่วนของทุน</t>
  </si>
  <si>
    <t>ค้างรับจากกรมบัญชีกลาง</t>
  </si>
  <si>
    <t xml:space="preserve">   รวม เงินลงทุนระยะสั้น</t>
  </si>
  <si>
    <t xml:space="preserve">   รวม สินค้าและวัสดุคงเหลือ</t>
  </si>
  <si>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ค่าตัดจำหน่ายสะสมสินทรัพย์ไม่มีตัวตน</t>
    </r>
  </si>
  <si>
    <t>รับสินค้า/ใบสำคัญ</t>
  </si>
  <si>
    <t>เจ้าหนี้อื่น - หน่วยงานภาครัฐ</t>
  </si>
  <si>
    <t>ค่าสาธารณูปโภคค้างจ่าย</t>
  </si>
  <si>
    <t xml:space="preserve">   รวม ค่าใช้จ่ายค้างจ่าย</t>
  </si>
  <si>
    <t>รายได้ค่าบริการรับล่วงหน้า</t>
  </si>
  <si>
    <t>รายได้รอการรับรู้ระยะยาว</t>
  </si>
  <si>
    <r>
      <t>หัก</t>
    </r>
    <r>
      <rPr>
        <sz val="14"/>
        <rFont val="TH SarabunPSK"/>
        <family val="2"/>
      </rPr>
      <t xml:space="preserve"> เบิกเกินส่งคืนให้กรมบัญชีกลาง</t>
    </r>
  </si>
  <si>
    <t>เงินช่วยเหลือพิเศษกรณีเสียชีวิต</t>
  </si>
  <si>
    <t>เงินสมทบ กบข.</t>
  </si>
  <si>
    <t>เงินสมทบ กสจ.</t>
  </si>
  <si>
    <t>ค่าเบี้ยประกันสุขภาพ</t>
  </si>
  <si>
    <t>เงินสมทบกองทุนสำรองเลี้ยงชีพพนักงานของรัฐ</t>
  </si>
  <si>
    <t>ค่าตอบแทนเหมาจ่ายแทนการจัดหารถประจำตำแหน่ง</t>
  </si>
  <si>
    <t>เงินเพิ่ม</t>
  </si>
  <si>
    <t>เงินตอบแทนพิเศษของผู้ได้รับเงินเต็มขั้น</t>
  </si>
  <si>
    <t>เงินค่าครองชีพ</t>
  </si>
  <si>
    <t>เงินช่วยค่ารักษาพยาบาลประเภทผู้ป่วยนอก-รพ. รัฐ</t>
  </si>
  <si>
    <t>เงินช่วยค่ารักษาพยาบาลประเภทผู้ป่วยใน-รพ. รัฐ</t>
  </si>
  <si>
    <t>เงินช่วยค่ารักษาพยาบาลประเภทผู้ป่วยนอก-รพ. เอกชน</t>
  </si>
  <si>
    <t>เงินช่วยค่ารักษาพยาบาลประเภทผู้ป่วยใน-รพ. เอกชน</t>
  </si>
  <si>
    <t>เงินช่วยพิเศษกรณีผู้รับบำนาญตาย</t>
  </si>
  <si>
    <t>บำเหน็จรายเดือนสำหรับการเบิกเงินบำเหน็จลูกจ้าง</t>
  </si>
  <si>
    <t>ค่าใช้จ่ายเดินทางไปราชการ - ในประเทศ</t>
  </si>
  <si>
    <t>ค่าใช้จ่ายเดินทางไปราชการ - ต่างประเทศ</t>
  </si>
  <si>
    <t>ค่าใช้จ่ายด้านการฝึกอบรม - ในประเทศ</t>
  </si>
  <si>
    <t>ค่าใช้จ่ายด้านการฝึกอบรม - ต่างประเทศ</t>
  </si>
  <si>
    <t>ค่าใช้จ่ายด้านการฝึกอบรม - บุคคลภายนอก</t>
  </si>
  <si>
    <t>ค่าเบี้ยเลี้ยง - ในประเทศ</t>
  </si>
  <si>
    <t>ค่าเบี้ยเลี้ยง - ต่างประเทศ</t>
  </si>
  <si>
    <t>ค่าธรรมเนียม</t>
  </si>
  <si>
    <t>ค่าเสื่อมราคา-อาคารและสิ่งปลูกสร้าง</t>
  </si>
  <si>
    <t>ค่าเสื่อมราคา-ครุภัณฑ์</t>
  </si>
  <si>
    <t xml:space="preserve">   รวม รายได้จากรัฐบาล</t>
  </si>
  <si>
    <t>วัสดุคงคลัง</t>
  </si>
  <si>
    <t>เงินฝากประจำ</t>
  </si>
  <si>
    <t>อาคารและสิ่งปลูกสร้าง</t>
  </si>
  <si>
    <t>งานระหว่างก่อสร้าง</t>
  </si>
  <si>
    <t>ครุภัณฑ์</t>
  </si>
  <si>
    <t xml:space="preserve">   รวม ที่ดิน อาคาร และครุภัณฑ์(สุทธิ)</t>
  </si>
  <si>
    <t>สินทรัพย์ไม่มีตัวตน</t>
  </si>
  <si>
    <t xml:space="preserve">   รวม รายได้รอการรับรู้ระยะยาว</t>
  </si>
  <si>
    <t>หมายเหตุที่ 4. เงินลงทุนระยะสั้น</t>
  </si>
  <si>
    <t>หมายเหตุที่ 5. สินค้าและวัสดุคงเหลือ</t>
  </si>
  <si>
    <t>เงินลงทุนระยะสั้น</t>
  </si>
  <si>
    <t>สินค้าและวัสดุคงเหลือ</t>
  </si>
  <si>
    <t>อัตรา</t>
  </si>
  <si>
    <t>ร้อยละ</t>
  </si>
  <si>
    <t>ค้างใช้จ่ายค้างจ่าย</t>
  </si>
  <si>
    <t>รายได้จากเงินช่วยเหลือและบริจาค</t>
  </si>
  <si>
    <t>ค่าบำเหน็จบำนาญ</t>
  </si>
  <si>
    <t>ค่าใช้จ่ายในการฝึกอบรม</t>
  </si>
  <si>
    <t>ค่าใช้จ่ายในการเดินทาง</t>
  </si>
  <si>
    <t>ค่าใช้สอยและค่าวัสดุ</t>
  </si>
  <si>
    <t>รวมค่าใช้จ่ายจากการดำเนินงาน</t>
  </si>
  <si>
    <t>รายได้แผ่นดินสุทธิจากการถอนคืนและจัดสรรตามกฎหมาย</t>
  </si>
  <si>
    <t>รายได้สูง/(ต่ำ) กว่าค่าใช้จ่ายสุทธิ</t>
  </si>
  <si>
    <t xml:space="preserve">   รวม  รายได้/(ค่าใช้จ่าย)ที่ไม่เกิดจากการดำเนินงาน</t>
  </si>
  <si>
    <t>รายได้สูง/ (ต่ำ) กว่าค่าใช้จ่ายจากการดำเนินงาน</t>
  </si>
  <si>
    <t>รายได้/ (ค่าใช้จ่าย) ที่ไม่เกิดจากการดำเนินงาน</t>
  </si>
  <si>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หน่วยงานโอนรายได้แผ่นดินให้กรมบัญชีกลาง</t>
    </r>
  </si>
  <si>
    <t>งบแสดงฐานะทางการเงิน</t>
  </si>
  <si>
    <t>รวมรายได้จากการดำเนินงาน</t>
  </si>
  <si>
    <t>เงินรับฝาก-ค่าสมัครสอบ</t>
  </si>
  <si>
    <t>เงินรับฝาก-ภาษาอังกฤษ</t>
  </si>
  <si>
    <t>เงินรับฝาก-ค่าขึ้นทะเบียนบัณฑิต</t>
  </si>
  <si>
    <t>เงินรับฝาก-เงินมัดจำประกันสัญญา</t>
  </si>
  <si>
    <t>เงินรับฝาก-ทรูวิชั่น</t>
  </si>
  <si>
    <t>เงินรับฝาก-เงินค้ำประกันลูกจ้าง</t>
  </si>
  <si>
    <t>เงินรับฝาก-งานจัดนิทรรศการ</t>
  </si>
  <si>
    <t>เงินรับฝาก-เงินมัดจำค่าเช่าร้าน</t>
  </si>
  <si>
    <t>เงินรับฝาก-สมัครสอบ ธ.กสิกร</t>
  </si>
  <si>
    <t>เงินรับฝาก-ทุนการศึกษา</t>
  </si>
  <si>
    <t>เงินรับฝาก-ทุนเฉลิมพระเกียรติ</t>
  </si>
  <si>
    <t>เงินรับฝาก-โครงการคลินิกเทคโนโลยี</t>
  </si>
  <si>
    <t>เงินรับฝาก-ยาเสพติด</t>
  </si>
  <si>
    <t>เงินรับฝาก-ธนาคารค่าใช้จ่ายกองทุนกู้ยืมเพื่อการศึกษา</t>
  </si>
  <si>
    <t>เงินรับฝาก-ธนาคารเงินกองทุนให้กู้ยืมเพื่อการศึกษา</t>
  </si>
  <si>
    <t xml:space="preserve">   รวม เงินรับฝาก</t>
  </si>
  <si>
    <t>เงินรับฝาก-ธนาคารเงินกองทุนให้กู้ยืมที่ผูกติดรายได้ในอนาคต</t>
  </si>
  <si>
    <t>รวมจำนวนเงิน</t>
  </si>
  <si>
    <t>ณ วันที่ 30 กันยายน 2560</t>
  </si>
  <si>
    <t>สำหรับปีงบประมาณ 2560 สิ้นสุดวันที่ 30 กันยายน 2560</t>
  </si>
  <si>
    <t xml:space="preserve"> ปีงบประมาณ 2560</t>
  </si>
  <si>
    <t>(ตั้งแต่วันที่ 1 ตุลาคม 2559 - 30 กันยายน 2560)</t>
  </si>
  <si>
    <t>เงินฝากกระแสรายวัน</t>
  </si>
  <si>
    <t>เงินลงทะเบียน มทร.ล้านนา</t>
  </si>
  <si>
    <t>เงินสมทบรายได้ทั่วไป มทร.ล้านนา</t>
  </si>
  <si>
    <t>มหาวิทยาลัยเทคโนโลยีราชมงคลล้านนา</t>
  </si>
  <si>
    <t>ค่าตอบแทนการปฏิบัติงาน (เฉพาะงาน)</t>
  </si>
  <si>
    <t>เงินรับฝาก-อื่น</t>
  </si>
  <si>
    <t>เงินรับฝาก-ค่าใช้จ่ายในการอุปถัมภ์บุคลากรนานาชาติ(AFS)</t>
  </si>
  <si>
    <t>เงินรับฝาก-โครงการเครื่องสกัดน้ำมัลเบอร์รี่</t>
  </si>
  <si>
    <t>เงินรับฝาก-โครงการจัดระเบียบสังคมรอบสถานศึกษา</t>
  </si>
  <si>
    <t>ค่าที่พัก      - ต่างประเทศ</t>
  </si>
  <si>
    <t>ค่าที่พัก      - ในประเทศ</t>
  </si>
  <si>
    <t>เงินรับฝาก-โครงการวิจัย</t>
  </si>
  <si>
    <t>รายได้ค่าธรรมเนียมการศึกษารอรับรู้</t>
  </si>
  <si>
    <t>เงินรับฝาก-โครงการ Smart Camp</t>
  </si>
  <si>
    <t>เงินรับฝาก-ค่าสาธารณูปโภค</t>
  </si>
  <si>
    <t>เงินรับฝาก-ค่าทำบัตรนักศึกษา</t>
  </si>
  <si>
    <t>เงินรับฝาก-ศูนย์สอบ-Vnet</t>
  </si>
  <si>
    <t>เงินรับฝาก-โครงการกระทรวงวิทย์</t>
  </si>
  <si>
    <t>เงินรับฝาก-โครงการพัฒนาคุณภาพการศึกษาและพัฒนาท้องถิ่นโดยมีสถาบันอุดมฯ</t>
  </si>
  <si>
    <t>เงินรับฝาก-เงินบริจาคช่วยเหลือนักศึกษาไฟไหม้บ้าน</t>
  </si>
  <si>
    <t>เงินรับฝาก-โครงการเรียนรู้ในชุมชนเพื่อเพิ่มศักยภาพของบุคลากร</t>
  </si>
  <si>
    <t>เงินรับฝาก-โครงการผลิตก๊าชชีวภาพเป็นแหล่งพลังงานทดแทนสำหรับครัวเรือน</t>
  </si>
  <si>
    <t>เงินฝากประจำ - พื้นที่</t>
  </si>
  <si>
    <t>รายได้ค้างรับ - บุคคลภายนอก</t>
  </si>
  <si>
    <t>ลูกหนี้อื่น - บุคคลภายนอก</t>
  </si>
  <si>
    <t>สินทรัพย์หมุนเวียนอื่น - เงินทดรองราชการ</t>
  </si>
  <si>
    <t>สินทรัพย์หมุนเวียนอื่น - กองทุนสวัสดิการบุคลากร</t>
  </si>
  <si>
    <t>รวมเงินฝาก-Interface</t>
  </si>
  <si>
    <t>รวมเงินฝากประจำ</t>
  </si>
  <si>
    <t>เลขที่บัญชี</t>
  </si>
  <si>
    <t>อุปกรณ์                                              2 - 12            ปี</t>
  </si>
  <si>
    <t>โปรแกรมคอมพิวเตอร์                             2 - 15            ปี</t>
  </si>
  <si>
    <t>สินทรัพย์สุทธิ/ส่วนทุน</t>
  </si>
  <si>
    <t>ที่ดิน อาคาร และอุปกรณ์ (สุทธิ)</t>
  </si>
  <si>
    <t>สินทรัพย์ไม่มีตัวตน (สุทธิ)</t>
  </si>
  <si>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ค่าเสื่อมราคาสะสม - อาคารและสิ่งปลูกสร้าง</t>
    </r>
  </si>
  <si>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ค่าเสื่อมราคาสะสม - ครุภัณฑ์</t>
    </r>
  </si>
  <si>
    <t>เงินรับฝาก-ประกันของเสียหาย</t>
  </si>
  <si>
    <t>เงินรับฝาก-หอพัก</t>
  </si>
  <si>
    <t>รายได้ค่าสาธารณูปโภค(หอพัก)</t>
  </si>
  <si>
    <t>รวมทุกพื้นที่</t>
  </si>
  <si>
    <t>ลูกหนี้เงินกู้ยืม(ตาก)</t>
  </si>
  <si>
    <t>เงินกู้ยืม(ส่วนกลาง)</t>
  </si>
  <si>
    <t>กำไรขาดทุนที่ยังไม่เกิดขึ้นของเงินลงทุน</t>
  </si>
  <si>
    <t>รวมสินทรัพย์ทั้งสิ้น</t>
  </si>
  <si>
    <t xml:space="preserve">มหาวิทยาลัยเทคโนโลยีราชมงคลล้านนา </t>
  </si>
  <si>
    <t>งบแสดงฐานะทางการเงินรวม</t>
  </si>
  <si>
    <t>งบแสดงผลการดำเนินงานรวม</t>
  </si>
  <si>
    <t>หมายเหตุประกอบงบการเงินรวม</t>
  </si>
  <si>
    <t>เงินรับฝาก-สะสม - ลำปาง</t>
  </si>
  <si>
    <t>เงินรับฝาก-สะสม - สถาบันวิจัย</t>
  </si>
  <si>
    <t>เงินรับฝาก-สะสม - น่าน</t>
  </si>
  <si>
    <t>เงินรับฝาก-สะสม - เชียงราย</t>
  </si>
  <si>
    <t>เงินรับฝาก-สะสม - ตาก</t>
  </si>
  <si>
    <t>เงินรับฝาก-สะสม - พิษณุโลก</t>
  </si>
  <si>
    <t>รายรับจากการขายครุภัณฑ์ (รหัสGL 4306010110)</t>
  </si>
  <si>
    <t>กสิกร</t>
  </si>
  <si>
    <t>อยู่ในธนาคาร 4366 ยังไม่ได้ออกใบเสร็จ มีรายละเอียดแล้ว</t>
  </si>
  <si>
    <t>อยู่ในธนาคารกสิกร ยังไม่ได้ออกใบเสร็จ</t>
  </si>
  <si>
    <t>ค้างรับกรมบัญชีกลาง</t>
  </si>
  <si>
    <t>ลูกหนี้แจกัน</t>
  </si>
  <si>
    <t>มีลายละเอียดแล้ว</t>
  </si>
  <si>
    <t>ลูกหนี้ประกันผลงาน</t>
  </si>
  <si>
    <t>บัญชีค่าจำหน่าย-ครุภัณฑ์ (รหัสGL 5203010141)</t>
  </si>
  <si>
    <t>บัญชีค่าจำหน่าย-สินทรัพย์ไม่มีตัวตน (รหัส GL 5203010142)</t>
  </si>
  <si>
    <t>ค่าตัดจำหน่าย-สินทรัพย์ไม่มีตัวตน (รหัส GL 5105010164)</t>
  </si>
  <si>
    <t>ภาคพายัพ</t>
  </si>
  <si>
    <t>ค่าจำหน่าย-อาคารและสิ่งปลูกสร้าง (รหัสGL 5203010110)</t>
  </si>
  <si>
    <t xml:space="preserve">    รวม รายได้จากเงินช่วยเหลือและเงินบริจาค</t>
  </si>
  <si>
    <t>รายได้จากเงินบริจาค (รหัส GL 4302030101)</t>
  </si>
  <si>
    <t>TR-หน่วยงานรับเงินากหน่วยงานอื่น</t>
  </si>
  <si>
    <t>รายได้ค่าบริการอื่น</t>
  </si>
  <si>
    <t>มหาวิทยาลัยเทคโนโลยีราชมงคลล้านนา รวมทุกพื้นที่</t>
  </si>
  <si>
    <t>รายงานงบการเงิน (ฉบับปรับปรุง)</t>
  </si>
  <si>
    <t xml:space="preserve">ผป. เป็นครุภัณฑ์บริจาค ตัดค่าเสื่อมทีละน้อย </t>
  </si>
  <si>
    <t xml:space="preserve">เดบิต ครุภัณฑ์ </t>
  </si>
  <si>
    <t>เครดิต รายได้รอการรับรู้ระยะยาว</t>
  </si>
  <si>
    <t>เดบิต รายได้รอการรับรู้ระยะยาว</t>
  </si>
  <si>
    <t>เครดิต รายได้จากการบริจาค</t>
  </si>
  <si>
    <t>เดบิต ค่าเสื่อม</t>
  </si>
  <si>
    <t>เครดิต ค่าเสื่อมสะสม</t>
  </si>
  <si>
    <t>รายได้รอรับรู้ระยะยาวของตาก</t>
  </si>
  <si>
    <t>ค่าใช้จ่าย-ทุนการศึกษา - ต่างประเทศ</t>
  </si>
  <si>
    <t>ค่าใช้จ่าย-ทุนการศึกษา - ในประเทศ</t>
  </si>
  <si>
    <t>TE-ปรับเงินฝากคลัง (รหัส GL 5210010105)</t>
  </si>
  <si>
    <t>TR-หน่วยงานรับเงินนอกงบประมาณจากกรมบัญชีกลาง (GL 4308010101)</t>
  </si>
  <si>
    <t>TR-ปรับเงินฝากคลัง (GL 4308010105)</t>
  </si>
  <si>
    <t>TE-หน่วยงานโอนเงินนอกงบประมาณให้กรมบัญชีกลาง (GL 5210010102)</t>
  </si>
  <si>
    <t>รายได้แผ่นดินสุทธิจากถอนคืนและจัดสรรตามกฎหมาย</t>
  </si>
  <si>
    <t>รายได้จากค่าปรับอื่น (รหัส GL 4201020199)</t>
  </si>
  <si>
    <t>รายได้ค่าปรับจราจรทางบก (รหัส GL 4201020104)</t>
  </si>
  <si>
    <t>รายได้ดอกเบี้ยเงินฝากที่สถาบันการเงิน (รหัส GL 4203010101)</t>
  </si>
  <si>
    <t>รายรับจากการขายครุภัณฑ์ (รหัส GL 4205010110)</t>
  </si>
  <si>
    <t>รายได้เงินเหลือจ่าย (รหัส GL 4206010102)</t>
  </si>
  <si>
    <t xml:space="preserve">   รวม  รายได้แผ่นดินที่จัดเก็บ</t>
  </si>
  <si>
    <t>ค่าเช่าคอมฯ</t>
  </si>
  <si>
    <t>หัก โอนเงินรายได้แผ่นดินให้กรมบัญชีกลาง (รหัส GL 5210010103)</t>
  </si>
  <si>
    <t xml:space="preserve"> </t>
  </si>
  <si>
    <t>รายได้โอนระหว่างหน่วยงาน</t>
  </si>
  <si>
    <t>รายได้จากการรับโอนเงินระหว่างหน่วยงาน</t>
  </si>
  <si>
    <t>รวมรายได้</t>
  </si>
  <si>
    <t>บัญชีรายได้</t>
  </si>
  <si>
    <t>บัญชีค่าใช้จ่าย</t>
  </si>
  <si>
    <t>ค่าใช้จ่ายในการดำเนินงาน</t>
  </si>
  <si>
    <t>ค่าใช้จ่ายโอนระหว่างหน่วยงาน</t>
  </si>
  <si>
    <t>ค่าใช้จ่ายจากการโอนเงินระหว่างหน่วยงาน</t>
  </si>
  <si>
    <t>รวมค่าใช้จ่าย</t>
  </si>
  <si>
    <t>รายได้สูง/(ต่ำ) กว่าค่าใช้จ่ายจากการดำเนินงาน</t>
  </si>
  <si>
    <t>รายได้/(ค่าใช้จ่าย) ที่ไม่เกิดจากการดำเนินงาน</t>
  </si>
  <si>
    <t>รวมรายได้สูง/(ต่ำ) กว่าค่าใช้จ่ายจากการดำเนินงาน</t>
  </si>
  <si>
    <t>รายได้ดอกเบี้ยรับ(เงินกู้ยืมตาก)</t>
  </si>
  <si>
    <t>งบเชียงใหม่ หมายเหตุที่ 5 ไม่มี ทำตาม สตง บอก</t>
  </si>
  <si>
    <t>หมายเหตุที่ 5. สินทรัพย์หมุนเวียนอื่น</t>
  </si>
  <si>
    <t>หมายเหตุที่ 6. เงินลงทุนระยะยาว</t>
  </si>
  <si>
    <t>หมายเหตุที่ 7. ที่ดิน อาคาร และครุภัณฑ์(สุทธิ)</t>
  </si>
  <si>
    <t>หมายเหตุที่ 8. สินทรัพย์ไม่มีตัวตน(สุทธิ)</t>
  </si>
  <si>
    <t>หมายเหตุที่ 9. เจ้าหนี้ระยะสั้น</t>
  </si>
  <si>
    <t>หมายเหตุที่ 10. ค่าใช้จ่ายค้างจ่าย</t>
  </si>
  <si>
    <t>หมายเหตุที่ 11. เงินรับฝาก</t>
  </si>
  <si>
    <t>หมายเหตุที่ 12. หนี้สินหมุนเวียนอื่น</t>
  </si>
  <si>
    <t>หมายเหตุที่ 13. รายได้รอการรับรู้ระยะยาว</t>
  </si>
  <si>
    <t>หมายเหตุที่ 13 จองเชียงใหม่ ไม่มี</t>
  </si>
  <si>
    <t>หมายเหตุที่ 13. รายได้จากรัฐบาล</t>
  </si>
  <si>
    <t>หมายเหตุที่ 14. รายได้ค่าธรรมเนียมการศึกษา</t>
  </si>
  <si>
    <t>หมายเหตุที่ 15. รายได้จากการขายสินค้าและบริการ</t>
  </si>
  <si>
    <t>หมายเหตุที่ 16. รายได้ดอกเบี้ยของหน่วยงาน</t>
  </si>
  <si>
    <t>หมายเหตุที่ 17. รายได้ค่าสาธารณูปโภค</t>
  </si>
  <si>
    <t>หมายเหตุที่ 18. รายได้จากเงินช่วยเหลือและเงินบริจาค</t>
  </si>
  <si>
    <t>หมายเหตุที่ 19. รายได้อื่น</t>
  </si>
  <si>
    <t>หมายเหตุที่ 20. ค่าใช้จ่ายด้านบุคลากร</t>
  </si>
  <si>
    <t>หมายเหตุที่ 21. ค่าบำเหน็จบำนาญ</t>
  </si>
  <si>
    <t>หมายเหตุที่ 22. ค่าใช้จ่ายในการฝึกอบรม</t>
  </si>
  <si>
    <t>หมายเหตุที่ 23. ค่าใช้จ่ายในการเดินทาง</t>
  </si>
  <si>
    <t>หมายเหตุที่ 24. ค่าวัสดุและใช้สอย</t>
  </si>
  <si>
    <t>หมายเหตุที่ 25. ค่าสาธารณูปโภค</t>
  </si>
  <si>
    <t>หมายเหตุที่ 26. ค่าเสื่อมราคาและค่าตัดจำหน่าย</t>
  </si>
  <si>
    <t>หมายเหตุที่ 27. ค่าใช้จ่ายอื่น</t>
  </si>
  <si>
    <t>หมายเหตุที่ 28. รายได้/(ค่าใช้จ่าย)ที่ไม่เกิดจากการดำเนินงาน</t>
  </si>
  <si>
    <t>หมายเหตุที่ 29 รายได้แผ่นดินที่จัดเก็บ</t>
  </si>
  <si>
    <t>หมายเหตุที่ 30. เงินฝากสถาบันการเงิน</t>
  </si>
  <si>
    <t>หมายเหตุที่ 34. รายการระหว่างกัน</t>
  </si>
  <si>
    <r>
      <t>เงินฝากสถาบันการเงิน</t>
    </r>
    <r>
      <rPr>
        <b/>
        <sz val="14"/>
        <rFont val="TH SarabunPSK"/>
        <family val="2"/>
      </rPr>
      <t xml:space="preserve"> (หมายเหตุ 30)</t>
    </r>
  </si>
  <si>
    <r>
      <t xml:space="preserve">เงินฝาก-Interface </t>
    </r>
    <r>
      <rPr>
        <b/>
        <sz val="14"/>
        <rFont val="TH SarabunPSK"/>
        <family val="2"/>
      </rPr>
      <t>(หมายเหตุ 31)</t>
    </r>
  </si>
  <si>
    <r>
      <t xml:space="preserve">เงินฝากประจำ - ส่วนกลาง </t>
    </r>
    <r>
      <rPr>
        <b/>
        <sz val="14"/>
        <rFont val="TH SarabunPSK"/>
        <family val="2"/>
      </rPr>
      <t>(หมายเหตุ 32)</t>
    </r>
  </si>
  <si>
    <r>
      <t>เงินฝากประจำ - ระยะยาว</t>
    </r>
    <r>
      <rPr>
        <b/>
        <sz val="14"/>
        <rFont val="TH SarabunPSK"/>
        <family val="2"/>
      </rPr>
      <t xml:space="preserve"> (หมายเหตุ 33)</t>
    </r>
  </si>
  <si>
    <t>หมายเหตุที่ 31. เงินฝาก-Interface</t>
  </si>
  <si>
    <t>หมายเหตุที่ 32. เงินฝากประจำ - ระยะสั้น</t>
  </si>
  <si>
    <t>หมายเหตุที่ 33. เงินฝากประจำ - ระยะยาว</t>
  </si>
  <si>
    <t>ปี 2561</t>
  </si>
  <si>
    <t>ปี 2560</t>
  </si>
  <si>
    <t>อัตรา
ร้อยละ</t>
  </si>
  <si>
    <t>ณ วันที่ 30 กันยายน 2561</t>
  </si>
  <si>
    <t>สำหรับปีงบประมาณ 2561 สิ้นสุดวันที่ 30 กันยายน 2561</t>
  </si>
  <si>
    <t xml:space="preserve"> ปีงบประมาณ 2561</t>
  </si>
  <si>
    <t>รายงานงบการเงิน</t>
  </si>
  <si>
    <t>(ตั้งแต่วันที่ 1 ตุลาคม 2560 - 30 กันยายน 2561)</t>
  </si>
  <si>
    <t>มหาวิทยาลัยเทคโนโลยีราชมงคลล้านนา พิษณุโลก</t>
  </si>
  <si>
    <t>รวมเงิน</t>
  </si>
  <si>
    <t>ค่าตอบแทนที่ปรึกษา ผศ.</t>
  </si>
  <si>
    <t>โครงการ Start up งวดที่ 3,4</t>
  </si>
  <si>
    <t>โครงการแข่งขันกีฬาหิรัญญิกาเกมส์ ครั้งที่ 34</t>
  </si>
  <si>
    <t>เงินประจำตำแหน่งผู้บริหาร</t>
  </si>
  <si>
    <t>เงินสมทบกีฬา จาก กพน.</t>
  </si>
  <si>
    <t>ค่ารับสมัครสอบคัดเลือก รอบที่ 1</t>
  </si>
  <si>
    <t>ค่ารับสมัครสอบคัดเลือก รอบที่ 2</t>
  </si>
  <si>
    <t>โครงการอบรมหลักสูตรมาตรฐานงานวิจัยในมนุษย์</t>
  </si>
  <si>
    <t>โครงการประชุมสัมมนา บทบาทของสายวิชาการและสายสนับสนุน เพื่อการขับเคลื่อนยุทะศาสตร์</t>
  </si>
  <si>
    <t>ทุนวิจัย RMUTL OTOP Mentor'61</t>
  </si>
  <si>
    <t>โครงการแข่งขันทักษะทางด้านสัตวศาสตร์ของนักศึกษาในประเทศอาเซียน ครั้งที่ 3 และการแข่งขันทักษะเกษตรอาเซียน ครั้งที่ 1</t>
  </si>
  <si>
    <t>เข้าร่วมนำเสนอผลงานการประชุมวิชาการ 9 มทร.</t>
  </si>
  <si>
    <t>ครุภัณฑ์ห้องปฏิบัติเรียนรู้เชิงความคิดสร้างสรรค์</t>
  </si>
  <si>
    <t>ค่ารับสมัครสอบคัดเลือก รอบที่ 3</t>
  </si>
  <si>
    <t>ทุนเรียนดี ปีการศึกษา 2560</t>
  </si>
  <si>
    <t>งบฟื้นฟู</t>
  </si>
  <si>
    <t>เงินฝากกองคลัง</t>
  </si>
  <si>
    <t>Z1 ปี 2558</t>
  </si>
  <si>
    <t>เงินผปย.สะสม ปี 2559</t>
  </si>
  <si>
    <t>เงินผปย.สะสม ปี 2560</t>
  </si>
  <si>
    <t>เงินฝาก-Interface</t>
  </si>
  <si>
    <t>วิทยาเขตพิษณุโลก(งบประมาณ)</t>
  </si>
  <si>
    <t>วิทยาเขตพิษณุโลก(เงินผลประโยชน์)</t>
  </si>
  <si>
    <t>เงินรับฝากค่าลงทะเบียน มทร.ล้านนาพิษณุโลก</t>
  </si>
  <si>
    <t>0275001888</t>
  </si>
  <si>
    <t>ธกส.</t>
  </si>
  <si>
    <t>มทร.ล้านนา พิษณุโลก</t>
  </si>
  <si>
    <t>มหาวิทยาลัยเทคโนโลยีราชมงคลล้านนาเขตพื้นที่ พล.</t>
  </si>
  <si>
    <t>เงินรับฝากงานวิจัยของวิทยาเขตพิษณุโลก</t>
  </si>
  <si>
    <t>อุดหนุนงานวิจัยวิทยาเขตพิษณุโลก</t>
  </si>
  <si>
    <t>เงินกู้เพื่อการศึกษาสถาบันเทคโนโลยีราชมงคล(บริหาร)</t>
  </si>
  <si>
    <t>เงินกู้เพื่อการศึกษาสถาบันเทคโนโลยีราชมงคลวิทยา</t>
  </si>
  <si>
    <t>กรอ.ปีการศึกษา2555 มหาวิทยาลัยเทคโนโลยีราชมงคลล้านนา เขตพื้นที่พิษณุโลก</t>
  </si>
  <si>
    <t>กรอ.ปีการศึกษา2555 (มหาวิทยาลัยเทคโนโลยีราชมงคลล้านนา พิษณุโลก)</t>
  </si>
  <si>
    <t>บัญชีกองทุนเงินให้กู้ยืมเพื่อการศึกษาของมหาวิทยาลัยเทคโนโลยีราชมงคลล้านนา พิษณุโลก</t>
  </si>
  <si>
    <t>อิสลาม</t>
  </si>
  <si>
    <t>เงินนอกงบประมาณ เงินลงทะเบียน มทร.ล้านนา</t>
  </si>
  <si>
    <t>เงินค่ากิจกรรม มทร.ล้านนา</t>
  </si>
  <si>
    <t>เงินสมทบ มทร.ล้านนา</t>
  </si>
  <si>
    <t>เงินนอกงบประมาณประจำปี มทร.ล้านนา</t>
  </si>
  <si>
    <t>เงินตามแผนงาน มทร.ล้านนา</t>
  </si>
  <si>
    <t>เงินสะสมประจำปี มทร.ล้านนา</t>
  </si>
  <si>
    <t>เงินวิจัย เงินนอกงบประมาณ มทร.ล้านนา</t>
  </si>
  <si>
    <t>เงินบริการวิชาการและบริการสังคม มทร.ล้านนา</t>
  </si>
  <si>
    <t>สหกิจศึกษา มทร.ล้านนา</t>
  </si>
  <si>
    <t>งานฟาร์ม มทร.ล้านนา</t>
  </si>
  <si>
    <t>หอพัก มทร.ล้านนา</t>
  </si>
  <si>
    <t>เงินรับฝาก ค้ำประกัน มทร.ล้านนา</t>
  </si>
  <si>
    <t>เงินรับฝาก ประกันหอพัก มทร.ล้านนา</t>
  </si>
  <si>
    <t>เงินรับฝาก สมัครสอบคัดเลือก มทร.ล้านนา</t>
  </si>
  <si>
    <t>เงินรับฝาก ขึ้นทะเบียนบัณฑิต มทร.ล้านนา</t>
  </si>
  <si>
    <t>เงินพักค่าสาธารณูปโภค มทร.ล้านนา</t>
  </si>
  <si>
    <t>เงินกองทุนพนักงานมหาวิทยาลัย มทร.ล้านนา</t>
  </si>
  <si>
    <t>เงินยืมและเงินทดรองราชการ มทร.ล้านนา</t>
  </si>
  <si>
    <t>เงินรับฝากทั่วไป</t>
  </si>
  <si>
    <t>เงินฝากไม่มีรายตัว</t>
  </si>
  <si>
    <t>รวมพิษณุโลก</t>
  </si>
  <si>
    <t>เงินรับฝาก- ค่าลงทะเบียนเกิน รอคืนนักศึกษา</t>
  </si>
  <si>
    <t>เงินรับฝาก-โครงการสมทบกีฬา</t>
  </si>
  <si>
    <t>รับปันผลดอกเบี้ยเงินฝากครบกำหนด ปี 2560</t>
  </si>
  <si>
    <t xml:space="preserve">หมายเหตุประกอบงบการเงิน </t>
  </si>
  <si>
    <t>มหาวิทยาลัยเทคโนโลยีราชมงคลล้านา พิษณุโลก</t>
  </si>
  <si>
    <t xml:space="preserve">อาคารและสิ่งปลูกสร้าง                          </t>
  </si>
  <si>
    <t xml:space="preserve">อุปกรณ์                                            </t>
  </si>
  <si>
    <t>2 - 12            ปี</t>
  </si>
  <si>
    <t xml:space="preserve">โปรแกรมคอมพิวเตอร์                             </t>
  </si>
  <si>
    <t>2 - 15            ปี</t>
  </si>
  <si>
    <t>15 - 40          ปี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</si>
</sst>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_ ;[Red]\-#,##0.00\ 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u val="single"/>
      <sz val="14"/>
      <name val="TH SarabunPSK"/>
      <family val="2"/>
    </font>
    <font>
      <b/>
      <sz val="30"/>
      <name val="TH SarabunPSK"/>
      <family val="2"/>
    </font>
    <font>
      <sz val="26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 val="single"/>
      <sz val="14"/>
      <name val="TH SarabunPSK"/>
      <family val="2"/>
    </font>
    <font>
      <sz val="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4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2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2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94" fontId="2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9" fontId="2" fillId="0" borderId="0" xfId="50" applyNumberFormat="1" applyFont="1" applyFill="1" applyBorder="1" applyAlignment="1">
      <alignment horizontal="right"/>
      <protection/>
    </xf>
    <xf numFmtId="0" fontId="2" fillId="0" borderId="0" xfId="49" applyFont="1" applyFill="1" applyBorder="1">
      <alignment/>
      <protection/>
    </xf>
    <xf numFmtId="0" fontId="2" fillId="0" borderId="0" xfId="48" applyFont="1" applyFill="1" applyAlignment="1">
      <alignment/>
      <protection/>
    </xf>
    <xf numFmtId="0" fontId="3" fillId="0" borderId="0" xfId="48" applyFont="1" applyFill="1" applyBorder="1">
      <alignment/>
      <protection/>
    </xf>
    <xf numFmtId="0" fontId="2" fillId="0" borderId="0" xfId="48" applyFont="1" applyFill="1" applyBorder="1" applyAlignment="1">
      <alignment horizontal="left"/>
      <protection/>
    </xf>
    <xf numFmtId="0" fontId="2" fillId="0" borderId="0" xfId="48" applyFont="1" applyFill="1" applyBorder="1" applyAlignment="1">
      <alignment/>
      <protection/>
    </xf>
    <xf numFmtId="0" fontId="2" fillId="0" borderId="0" xfId="48" applyFont="1" applyFill="1" applyBorder="1">
      <alignment/>
      <protection/>
    </xf>
    <xf numFmtId="49" fontId="2" fillId="0" borderId="0" xfId="48" applyNumberFormat="1" applyFont="1" applyFill="1" applyBorder="1" applyAlignment="1">
      <alignment/>
      <protection/>
    </xf>
    <xf numFmtId="49" fontId="2" fillId="0" borderId="0" xfId="48" applyNumberFormat="1" applyFont="1" applyFill="1" applyBorder="1" applyAlignment="1">
      <alignment horizontal="left"/>
      <protection/>
    </xf>
    <xf numFmtId="49" fontId="2" fillId="0" borderId="0" xfId="48" applyNumberFormat="1" applyFont="1" applyFill="1" applyBorder="1">
      <alignment/>
      <protection/>
    </xf>
    <xf numFmtId="0" fontId="3" fillId="0" borderId="0" xfId="49" applyFont="1" applyFill="1" applyBorder="1">
      <alignment/>
      <protection/>
    </xf>
    <xf numFmtId="0" fontId="2" fillId="0" borderId="0" xfId="49" applyFont="1" applyFill="1" applyBorder="1" applyAlignment="1">
      <alignment horizontal="left"/>
      <protection/>
    </xf>
    <xf numFmtId="0" fontId="3" fillId="0" borderId="0" xfId="0" applyFont="1" applyFill="1" applyBorder="1" applyAlignment="1">
      <alignment vertical="center"/>
    </xf>
    <xf numFmtId="194" fontId="3" fillId="0" borderId="10" xfId="33" applyFont="1" applyFill="1" applyBorder="1" applyAlignment="1">
      <alignment horizontal="center" vertical="center"/>
    </xf>
    <xf numFmtId="0" fontId="2" fillId="0" borderId="11" xfId="33" applyNumberFormat="1" applyFont="1" applyFill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194" fontId="52" fillId="0" borderId="0" xfId="33" applyFont="1" applyAlignment="1">
      <alignment/>
    </xf>
    <xf numFmtId="0" fontId="51" fillId="0" borderId="10" xfId="0" applyFont="1" applyBorder="1" applyAlignment="1">
      <alignment horizontal="center"/>
    </xf>
    <xf numFmtId="194" fontId="51" fillId="0" borderId="10" xfId="33" applyFont="1" applyBorder="1" applyAlignment="1">
      <alignment horizontal="center"/>
    </xf>
    <xf numFmtId="0" fontId="52" fillId="0" borderId="10" xfId="0" applyFont="1" applyBorder="1" applyAlignment="1">
      <alignment/>
    </xf>
    <xf numFmtId="194" fontId="52" fillId="0" borderId="10" xfId="33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194" fontId="52" fillId="0" borderId="10" xfId="33" applyFont="1" applyBorder="1" applyAlignment="1">
      <alignment horizontal="left"/>
    </xf>
    <xf numFmtId="194" fontId="52" fillId="0" borderId="10" xfId="0" applyNumberFormat="1" applyFont="1" applyBorder="1" applyAlignment="1">
      <alignment horizontal="left"/>
    </xf>
    <xf numFmtId="194" fontId="3" fillId="0" borderId="0" xfId="35" applyFont="1" applyFill="1" applyBorder="1" applyAlignment="1">
      <alignment horizontal="right"/>
    </xf>
    <xf numFmtId="194" fontId="52" fillId="0" borderId="0" xfId="33" applyFont="1" applyBorder="1" applyAlignment="1">
      <alignment horizontal="left"/>
    </xf>
    <xf numFmtId="194" fontId="52" fillId="0" borderId="0" xfId="33" applyFont="1" applyBorder="1" applyAlignment="1">
      <alignment/>
    </xf>
    <xf numFmtId="194" fontId="52" fillId="0" borderId="0" xfId="0" applyNumberFormat="1" applyFont="1" applyAlignment="1">
      <alignment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94" fontId="51" fillId="0" borderId="0" xfId="3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94" fontId="2" fillId="0" borderId="0" xfId="33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/>
    </xf>
    <xf numFmtId="194" fontId="3" fillId="0" borderId="12" xfId="0" applyNumberFormat="1" applyFont="1" applyFill="1" applyBorder="1" applyAlignment="1">
      <alignment vertical="center"/>
    </xf>
    <xf numFmtId="194" fontId="3" fillId="0" borderId="13" xfId="0" applyNumberFormat="1" applyFont="1" applyFill="1" applyBorder="1" applyAlignment="1">
      <alignment vertical="center"/>
    </xf>
    <xf numFmtId="194" fontId="2" fillId="0" borderId="0" xfId="33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51" fillId="0" borderId="14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194" fontId="52" fillId="0" borderId="0" xfId="0" applyNumberFormat="1" applyFont="1" applyFill="1" applyBorder="1" applyAlignment="1">
      <alignment/>
    </xf>
    <xf numFmtId="0" fontId="2" fillId="0" borderId="0" xfId="49" applyFont="1" applyFill="1" applyBorder="1" applyAlignment="1">
      <alignment vertical="top" wrapText="1"/>
      <protection/>
    </xf>
    <xf numFmtId="0" fontId="2" fillId="0" borderId="0" xfId="33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194" fontId="2" fillId="0" borderId="16" xfId="3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/>
    </xf>
    <xf numFmtId="194" fontId="3" fillId="0" borderId="0" xfId="33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194" fontId="51" fillId="0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33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194" fontId="3" fillId="0" borderId="0" xfId="33" applyFont="1" applyFill="1" applyBorder="1" applyAlignment="1">
      <alignment horizontal="center"/>
    </xf>
    <xf numFmtId="194" fontId="3" fillId="0" borderId="17" xfId="33" applyFont="1" applyFill="1" applyBorder="1" applyAlignment="1">
      <alignment horizontal="center" vertical="center"/>
    </xf>
    <xf numFmtId="194" fontId="3" fillId="0" borderId="13" xfId="33" applyFont="1" applyFill="1" applyBorder="1" applyAlignment="1">
      <alignment vertical="center"/>
    </xf>
    <xf numFmtId="194" fontId="2" fillId="0" borderId="17" xfId="33" applyFont="1" applyFill="1" applyBorder="1" applyAlignment="1">
      <alignment vertical="center"/>
    </xf>
    <xf numFmtId="194" fontId="3" fillId="0" borderId="17" xfId="33" applyFont="1" applyFill="1" applyBorder="1" applyAlignment="1">
      <alignment vertical="center"/>
    </xf>
    <xf numFmtId="194" fontId="3" fillId="0" borderId="12" xfId="33" applyFont="1" applyFill="1" applyBorder="1" applyAlignment="1">
      <alignment vertical="center"/>
    </xf>
    <xf numFmtId="194" fontId="51" fillId="0" borderId="0" xfId="33" applyFont="1" applyFill="1" applyBorder="1" applyAlignment="1">
      <alignment horizontal="center"/>
    </xf>
    <xf numFmtId="194" fontId="3" fillId="0" borderId="0" xfId="33" applyFont="1" applyFill="1" applyBorder="1" applyAlignment="1">
      <alignment vertical="center"/>
    </xf>
    <xf numFmtId="194" fontId="2" fillId="0" borderId="18" xfId="33" applyFont="1" applyFill="1" applyBorder="1" applyAlignment="1">
      <alignment vertical="center"/>
    </xf>
    <xf numFmtId="194" fontId="2" fillId="0" borderId="0" xfId="33" applyFont="1" applyFill="1" applyBorder="1" applyAlignment="1">
      <alignment horizontal="right" vertical="center"/>
    </xf>
    <xf numFmtId="194" fontId="2" fillId="0" borderId="10" xfId="3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94" fontId="3" fillId="0" borderId="0" xfId="3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94" fontId="3" fillId="0" borderId="18" xfId="33" applyFont="1" applyFill="1" applyBorder="1" applyAlignment="1">
      <alignment/>
    </xf>
    <xf numFmtId="194" fontId="3" fillId="0" borderId="13" xfId="33" applyFont="1" applyFill="1" applyBorder="1" applyAlignment="1">
      <alignment/>
    </xf>
    <xf numFmtId="194" fontId="3" fillId="0" borderId="12" xfId="33" applyFont="1" applyFill="1" applyBorder="1" applyAlignment="1">
      <alignment/>
    </xf>
    <xf numFmtId="194" fontId="3" fillId="0" borderId="13" xfId="33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94" fontId="3" fillId="0" borderId="16" xfId="33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94" fontId="3" fillId="0" borderId="0" xfId="33" applyFont="1" applyFill="1" applyBorder="1" applyAlignment="1">
      <alignment horizontal="right" vertical="center"/>
    </xf>
    <xf numFmtId="194" fontId="2" fillId="0" borderId="10" xfId="33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/>
    </xf>
    <xf numFmtId="0" fontId="55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51" applyFont="1" applyFill="1" applyBorder="1" applyAlignment="1">
      <alignment horizontal="center"/>
      <protection/>
    </xf>
    <xf numFmtId="1" fontId="2" fillId="0" borderId="16" xfId="51" applyNumberFormat="1" applyFont="1" applyFill="1" applyBorder="1" applyAlignment="1">
      <alignment horizontal="center" vertical="center"/>
      <protection/>
    </xf>
    <xf numFmtId="194" fontId="2" fillId="0" borderId="16" xfId="33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194" fontId="2" fillId="0" borderId="0" xfId="33" applyFont="1" applyFill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49" fontId="2" fillId="0" borderId="0" xfId="48" applyNumberFormat="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194" fontId="3" fillId="0" borderId="0" xfId="0" applyNumberFormat="1" applyFont="1" applyFill="1" applyBorder="1" applyAlignment="1">
      <alignment vertical="center"/>
    </xf>
    <xf numFmtId="194" fontId="51" fillId="0" borderId="0" xfId="0" applyNumberFormat="1" applyFont="1" applyFill="1" applyBorder="1" applyAlignment="1">
      <alignment/>
    </xf>
    <xf numFmtId="194" fontId="3" fillId="0" borderId="18" xfId="33" applyFont="1" applyFill="1" applyBorder="1" applyAlignment="1">
      <alignment vertical="center"/>
    </xf>
    <xf numFmtId="194" fontId="3" fillId="0" borderId="0" xfId="0" applyNumberFormat="1" applyFont="1" applyFill="1" applyAlignment="1">
      <alignment vertical="center"/>
    </xf>
    <xf numFmtId="194" fontId="3" fillId="0" borderId="0" xfId="33" applyFont="1" applyFill="1" applyAlignment="1">
      <alignment horizontal="center" vertical="center"/>
    </xf>
    <xf numFmtId="194" fontId="3" fillId="0" borderId="10" xfId="33" applyFont="1" applyFill="1" applyBorder="1" applyAlignment="1">
      <alignment vertical="center"/>
    </xf>
    <xf numFmtId="0" fontId="5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94" fontId="52" fillId="0" borderId="0" xfId="33" applyFont="1" applyFill="1" applyBorder="1" applyAlignment="1">
      <alignment/>
    </xf>
    <xf numFmtId="194" fontId="51" fillId="0" borderId="0" xfId="33" applyFont="1" applyFill="1" applyBorder="1" applyAlignment="1">
      <alignment/>
    </xf>
    <xf numFmtId="0" fontId="3" fillId="0" borderId="0" xfId="49" applyFont="1" applyFill="1" applyBorder="1" applyAlignment="1">
      <alignment horizontal="left"/>
      <protection/>
    </xf>
    <xf numFmtId="194" fontId="55" fillId="0" borderId="0" xfId="33" applyFont="1" applyFill="1" applyBorder="1" applyAlignment="1">
      <alignment vertical="center"/>
    </xf>
    <xf numFmtId="194" fontId="3" fillId="0" borderId="0" xfId="33" applyFont="1" applyFill="1" applyBorder="1" applyAlignment="1">
      <alignment/>
    </xf>
    <xf numFmtId="0" fontId="8" fillId="0" borderId="0" xfId="0" applyFont="1" applyAlignment="1">
      <alignment/>
    </xf>
    <xf numFmtId="14" fontId="10" fillId="0" borderId="0" xfId="0" applyNumberFormat="1" applyFont="1" applyAlignment="1">
      <alignment/>
    </xf>
    <xf numFmtId="194" fontId="3" fillId="0" borderId="12" xfId="33" applyFont="1" applyFill="1" applyBorder="1" applyAlignment="1">
      <alignment horizontal="center" vertical="center"/>
    </xf>
    <xf numFmtId="194" fontId="2" fillId="0" borderId="0" xfId="33" applyFont="1" applyFill="1" applyBorder="1" applyAlignment="1">
      <alignment horizontal="left" vertical="center"/>
    </xf>
    <xf numFmtId="194" fontId="2" fillId="0" borderId="21" xfId="33" applyFont="1" applyFill="1" applyBorder="1" applyAlignment="1">
      <alignment vertical="center"/>
    </xf>
    <xf numFmtId="194" fontId="56" fillId="0" borderId="0" xfId="33" applyFont="1" applyFill="1" applyBorder="1" applyAlignment="1">
      <alignment vertical="center"/>
    </xf>
    <xf numFmtId="194" fontId="55" fillId="0" borderId="0" xfId="33" applyFont="1" applyFill="1" applyBorder="1" applyAlignment="1">
      <alignment horizontal="center" vertical="center"/>
    </xf>
    <xf numFmtId="194" fontId="2" fillId="0" borderId="10" xfId="33" applyFont="1" applyFill="1" applyBorder="1" applyAlignment="1">
      <alignment vertical="center"/>
    </xf>
    <xf numFmtId="14" fontId="12" fillId="0" borderId="0" xfId="0" applyNumberFormat="1" applyFont="1" applyAlignment="1">
      <alignment/>
    </xf>
    <xf numFmtId="194" fontId="2" fillId="0" borderId="12" xfId="33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/>
    </xf>
    <xf numFmtId="194" fontId="51" fillId="0" borderId="10" xfId="33" applyFont="1" applyFill="1" applyBorder="1" applyAlignment="1">
      <alignment horizontal="center" vertical="center"/>
    </xf>
    <xf numFmtId="194" fontId="51" fillId="0" borderId="20" xfId="33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/>
    </xf>
    <xf numFmtId="194" fontId="3" fillId="0" borderId="10" xfId="33" applyFont="1" applyFill="1" applyBorder="1" applyAlignment="1">
      <alignment/>
    </xf>
    <xf numFmtId="194" fontId="2" fillId="0" borderId="10" xfId="0" applyNumberFormat="1" applyFont="1" applyFill="1" applyBorder="1" applyAlignment="1">
      <alignment vertical="center"/>
    </xf>
    <xf numFmtId="194" fontId="51" fillId="0" borderId="10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51" fillId="0" borderId="0" xfId="0" applyNumberFormat="1" applyFont="1" applyFill="1" applyBorder="1" applyAlignment="1">
      <alignment vertical="center"/>
    </xf>
    <xf numFmtId="194" fontId="51" fillId="0" borderId="10" xfId="33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 vertical="center"/>
    </xf>
    <xf numFmtId="194" fontId="3" fillId="0" borderId="22" xfId="33" applyFont="1" applyFill="1" applyBorder="1" applyAlignment="1">
      <alignment vertical="center"/>
    </xf>
    <xf numFmtId="194" fontId="3" fillId="12" borderId="0" xfId="33" applyFont="1" applyFill="1" applyBorder="1" applyAlignment="1">
      <alignment horizontal="right" vertical="center"/>
    </xf>
    <xf numFmtId="194" fontId="3" fillId="12" borderId="10" xfId="33" applyFont="1" applyFill="1" applyBorder="1" applyAlignment="1">
      <alignment horizontal="center" vertical="center"/>
    </xf>
    <xf numFmtId="194" fontId="2" fillId="12" borderId="10" xfId="33" applyFont="1" applyFill="1" applyBorder="1" applyAlignment="1">
      <alignment horizontal="right" vertical="center"/>
    </xf>
    <xf numFmtId="194" fontId="3" fillId="12" borderId="20" xfId="33" applyFont="1" applyFill="1" applyBorder="1" applyAlignment="1">
      <alignment horizontal="right" vertical="center"/>
    </xf>
    <xf numFmtId="194" fontId="3" fillId="12" borderId="22" xfId="33" applyFont="1" applyFill="1" applyBorder="1" applyAlignment="1">
      <alignment horizontal="right" vertical="center"/>
    </xf>
    <xf numFmtId="194" fontId="2" fillId="12" borderId="20" xfId="33" applyFont="1" applyFill="1" applyBorder="1" applyAlignment="1">
      <alignment horizontal="right" vertical="center"/>
    </xf>
    <xf numFmtId="194" fontId="2" fillId="12" borderId="10" xfId="33" applyFont="1" applyFill="1" applyBorder="1" applyAlignment="1">
      <alignment horizontal="right" vertical="top" wrapText="1"/>
    </xf>
    <xf numFmtId="194" fontId="3" fillId="12" borderId="18" xfId="33" applyFont="1" applyFill="1" applyBorder="1" applyAlignment="1">
      <alignment horizontal="right" vertical="center"/>
    </xf>
    <xf numFmtId="194" fontId="2" fillId="12" borderId="0" xfId="33" applyFont="1" applyFill="1" applyBorder="1" applyAlignment="1">
      <alignment horizontal="right" vertical="center"/>
    </xf>
    <xf numFmtId="194" fontId="2" fillId="12" borderId="22" xfId="33" applyFont="1" applyFill="1" applyBorder="1" applyAlignment="1">
      <alignment horizontal="right" vertical="center"/>
    </xf>
    <xf numFmtId="194" fontId="3" fillId="12" borderId="10" xfId="33" applyFont="1" applyFill="1" applyBorder="1" applyAlignment="1">
      <alignment horizontal="right" vertical="center"/>
    </xf>
    <xf numFmtId="194" fontId="2" fillId="12" borderId="23" xfId="33" applyFont="1" applyFill="1" applyBorder="1" applyAlignment="1">
      <alignment horizontal="right" vertical="center"/>
    </xf>
    <xf numFmtId="194" fontId="2" fillId="12" borderId="23" xfId="33" applyFont="1" applyFill="1" applyBorder="1" applyAlignment="1">
      <alignment horizontal="right"/>
    </xf>
    <xf numFmtId="194" fontId="2" fillId="12" borderId="10" xfId="33" applyFont="1" applyFill="1" applyBorder="1" applyAlignment="1">
      <alignment horizontal="right"/>
    </xf>
    <xf numFmtId="194" fontId="2" fillId="12" borderId="20" xfId="33" applyFont="1" applyFill="1" applyBorder="1" applyAlignment="1">
      <alignment horizontal="right"/>
    </xf>
    <xf numFmtId="194" fontId="52" fillId="12" borderId="10" xfId="33" applyFont="1" applyFill="1" applyBorder="1" applyAlignment="1">
      <alignment horizontal="right"/>
    </xf>
    <xf numFmtId="194" fontId="2" fillId="12" borderId="10" xfId="33" applyFont="1" applyFill="1" applyBorder="1" applyAlignment="1">
      <alignment horizontal="center" vertical="center"/>
    </xf>
    <xf numFmtId="194" fontId="2" fillId="12" borderId="20" xfId="33" applyFont="1" applyFill="1" applyBorder="1" applyAlignment="1">
      <alignment horizontal="center" vertical="center"/>
    </xf>
    <xf numFmtId="194" fontId="3" fillId="11" borderId="0" xfId="33" applyFont="1" applyFill="1" applyBorder="1" applyAlignment="1">
      <alignment horizontal="right" vertical="center"/>
    </xf>
    <xf numFmtId="194" fontId="3" fillId="11" borderId="10" xfId="33" applyFont="1" applyFill="1" applyBorder="1" applyAlignment="1">
      <alignment horizontal="center" vertical="center"/>
    </xf>
    <xf numFmtId="194" fontId="2" fillId="11" borderId="10" xfId="33" applyFont="1" applyFill="1" applyBorder="1" applyAlignment="1">
      <alignment horizontal="right" vertical="center"/>
    </xf>
    <xf numFmtId="194" fontId="3" fillId="11" borderId="20" xfId="33" applyFont="1" applyFill="1" applyBorder="1" applyAlignment="1">
      <alignment horizontal="right" vertical="center"/>
    </xf>
    <xf numFmtId="194" fontId="3" fillId="11" borderId="22" xfId="33" applyFont="1" applyFill="1" applyBorder="1" applyAlignment="1">
      <alignment horizontal="right" vertical="center"/>
    </xf>
    <xf numFmtId="194" fontId="2" fillId="11" borderId="20" xfId="33" applyFont="1" applyFill="1" applyBorder="1" applyAlignment="1">
      <alignment horizontal="right" vertical="center"/>
    </xf>
    <xf numFmtId="194" fontId="2" fillId="11" borderId="10" xfId="33" applyFont="1" applyFill="1" applyBorder="1" applyAlignment="1">
      <alignment horizontal="right" vertical="top" wrapText="1"/>
    </xf>
    <xf numFmtId="194" fontId="3" fillId="11" borderId="18" xfId="33" applyFont="1" applyFill="1" applyBorder="1" applyAlignment="1">
      <alignment horizontal="right" vertical="center"/>
    </xf>
    <xf numFmtId="194" fontId="2" fillId="11" borderId="0" xfId="33" applyFont="1" applyFill="1" applyBorder="1" applyAlignment="1">
      <alignment horizontal="right" vertical="center"/>
    </xf>
    <xf numFmtId="194" fontId="2" fillId="11" borderId="22" xfId="33" applyFont="1" applyFill="1" applyBorder="1" applyAlignment="1">
      <alignment horizontal="right" vertical="center"/>
    </xf>
    <xf numFmtId="194" fontId="3" fillId="11" borderId="10" xfId="33" applyFont="1" applyFill="1" applyBorder="1" applyAlignment="1">
      <alignment horizontal="right" vertical="center"/>
    </xf>
    <xf numFmtId="194" fontId="2" fillId="11" borderId="23" xfId="33" applyFont="1" applyFill="1" applyBorder="1" applyAlignment="1">
      <alignment horizontal="right"/>
    </xf>
    <xf numFmtId="194" fontId="2" fillId="11" borderId="23" xfId="33" applyFont="1" applyFill="1" applyBorder="1" applyAlignment="1">
      <alignment horizontal="right" vertical="center"/>
    </xf>
    <xf numFmtId="194" fontId="2" fillId="11" borderId="10" xfId="33" applyFont="1" applyFill="1" applyBorder="1" applyAlignment="1">
      <alignment horizontal="right"/>
    </xf>
    <xf numFmtId="194" fontId="2" fillId="11" borderId="20" xfId="33" applyFont="1" applyFill="1" applyBorder="1" applyAlignment="1">
      <alignment horizontal="right"/>
    </xf>
    <xf numFmtId="194" fontId="55" fillId="11" borderId="10" xfId="33" applyFont="1" applyFill="1" applyBorder="1" applyAlignment="1">
      <alignment horizontal="right" vertical="center"/>
    </xf>
    <xf numFmtId="194" fontId="2" fillId="11" borderId="10" xfId="33" applyFont="1" applyFill="1" applyBorder="1" applyAlignment="1">
      <alignment horizontal="center" vertical="center"/>
    </xf>
    <xf numFmtId="194" fontId="2" fillId="11" borderId="20" xfId="33" applyFont="1" applyFill="1" applyBorder="1" applyAlignment="1">
      <alignment horizontal="center" vertical="center"/>
    </xf>
    <xf numFmtId="194" fontId="3" fillId="10" borderId="0" xfId="33" applyFont="1" applyFill="1" applyBorder="1" applyAlignment="1">
      <alignment horizontal="right" vertical="center"/>
    </xf>
    <xf numFmtId="194" fontId="3" fillId="10" borderId="10" xfId="33" applyFont="1" applyFill="1" applyBorder="1" applyAlignment="1">
      <alignment horizontal="center" vertical="center"/>
    </xf>
    <xf numFmtId="194" fontId="2" fillId="10" borderId="10" xfId="33" applyFont="1" applyFill="1" applyBorder="1" applyAlignment="1">
      <alignment horizontal="right" vertical="center"/>
    </xf>
    <xf numFmtId="194" fontId="3" fillId="10" borderId="20" xfId="33" applyFont="1" applyFill="1" applyBorder="1" applyAlignment="1">
      <alignment horizontal="right" vertical="center"/>
    </xf>
    <xf numFmtId="194" fontId="3" fillId="10" borderId="22" xfId="33" applyFont="1" applyFill="1" applyBorder="1" applyAlignment="1">
      <alignment horizontal="right" vertical="center"/>
    </xf>
    <xf numFmtId="194" fontId="2" fillId="10" borderId="20" xfId="33" applyFont="1" applyFill="1" applyBorder="1" applyAlignment="1">
      <alignment horizontal="right" vertical="center"/>
    </xf>
    <xf numFmtId="194" fontId="2" fillId="10" borderId="10" xfId="33" applyFont="1" applyFill="1" applyBorder="1" applyAlignment="1">
      <alignment horizontal="right" vertical="top" wrapText="1"/>
    </xf>
    <xf numFmtId="194" fontId="3" fillId="10" borderId="18" xfId="33" applyFont="1" applyFill="1" applyBorder="1" applyAlignment="1">
      <alignment horizontal="right" vertical="center"/>
    </xf>
    <xf numFmtId="194" fontId="2" fillId="10" borderId="0" xfId="33" applyFont="1" applyFill="1" applyBorder="1" applyAlignment="1">
      <alignment horizontal="right" vertical="center"/>
    </xf>
    <xf numFmtId="194" fontId="2" fillId="10" borderId="22" xfId="33" applyFont="1" applyFill="1" applyBorder="1" applyAlignment="1">
      <alignment horizontal="right" vertical="center"/>
    </xf>
    <xf numFmtId="194" fontId="3" fillId="10" borderId="10" xfId="33" applyFont="1" applyFill="1" applyBorder="1" applyAlignment="1">
      <alignment horizontal="right" vertical="center"/>
    </xf>
    <xf numFmtId="194" fontId="2" fillId="10" borderId="23" xfId="33" applyFont="1" applyFill="1" applyBorder="1" applyAlignment="1">
      <alignment horizontal="right"/>
    </xf>
    <xf numFmtId="194" fontId="2" fillId="10" borderId="23" xfId="33" applyFont="1" applyFill="1" applyBorder="1" applyAlignment="1">
      <alignment horizontal="right" vertical="center"/>
    </xf>
    <xf numFmtId="194" fontId="2" fillId="10" borderId="10" xfId="33" applyFont="1" applyFill="1" applyBorder="1" applyAlignment="1">
      <alignment horizontal="right"/>
    </xf>
    <xf numFmtId="194" fontId="2" fillId="10" borderId="20" xfId="33" applyFont="1" applyFill="1" applyBorder="1" applyAlignment="1">
      <alignment horizontal="right"/>
    </xf>
    <xf numFmtId="194" fontId="2" fillId="10" borderId="10" xfId="33" applyFont="1" applyFill="1" applyBorder="1" applyAlignment="1">
      <alignment horizontal="center" vertical="center"/>
    </xf>
    <xf numFmtId="194" fontId="2" fillId="10" borderId="20" xfId="33" applyFont="1" applyFill="1" applyBorder="1" applyAlignment="1">
      <alignment horizontal="center" vertical="center"/>
    </xf>
    <xf numFmtId="194" fontId="3" fillId="9" borderId="0" xfId="33" applyFont="1" applyFill="1" applyBorder="1" applyAlignment="1">
      <alignment horizontal="right" vertical="center"/>
    </xf>
    <xf numFmtId="194" fontId="3" fillId="9" borderId="10" xfId="33" applyFont="1" applyFill="1" applyBorder="1" applyAlignment="1">
      <alignment horizontal="center" vertical="center"/>
    </xf>
    <xf numFmtId="194" fontId="2" fillId="9" borderId="10" xfId="33" applyFont="1" applyFill="1" applyBorder="1" applyAlignment="1">
      <alignment horizontal="right" vertical="center"/>
    </xf>
    <xf numFmtId="194" fontId="3" fillId="9" borderId="20" xfId="33" applyFont="1" applyFill="1" applyBorder="1" applyAlignment="1">
      <alignment horizontal="right" vertical="center"/>
    </xf>
    <xf numFmtId="194" fontId="3" fillId="9" borderId="22" xfId="33" applyFont="1" applyFill="1" applyBorder="1" applyAlignment="1">
      <alignment horizontal="right" vertical="center"/>
    </xf>
    <xf numFmtId="194" fontId="2" fillId="9" borderId="20" xfId="33" applyFont="1" applyFill="1" applyBorder="1" applyAlignment="1">
      <alignment horizontal="right" vertical="center"/>
    </xf>
    <xf numFmtId="194" fontId="2" fillId="9" borderId="10" xfId="33" applyFont="1" applyFill="1" applyBorder="1" applyAlignment="1">
      <alignment horizontal="right" vertical="top" wrapText="1"/>
    </xf>
    <xf numFmtId="194" fontId="3" fillId="9" borderId="18" xfId="33" applyFont="1" applyFill="1" applyBorder="1" applyAlignment="1">
      <alignment horizontal="right" vertical="center"/>
    </xf>
    <xf numFmtId="194" fontId="2" fillId="9" borderId="0" xfId="33" applyFont="1" applyFill="1" applyBorder="1" applyAlignment="1">
      <alignment horizontal="right" vertical="center"/>
    </xf>
    <xf numFmtId="194" fontId="2" fillId="9" borderId="22" xfId="33" applyFont="1" applyFill="1" applyBorder="1" applyAlignment="1">
      <alignment horizontal="right" vertical="center"/>
    </xf>
    <xf numFmtId="194" fontId="3" fillId="9" borderId="10" xfId="33" applyFont="1" applyFill="1" applyBorder="1" applyAlignment="1">
      <alignment horizontal="right" vertical="center"/>
    </xf>
    <xf numFmtId="194" fontId="2" fillId="9" borderId="23" xfId="33" applyFont="1" applyFill="1" applyBorder="1" applyAlignment="1">
      <alignment horizontal="right"/>
    </xf>
    <xf numFmtId="194" fontId="2" fillId="9" borderId="23" xfId="33" applyFont="1" applyFill="1" applyBorder="1" applyAlignment="1">
      <alignment horizontal="right" vertical="center"/>
    </xf>
    <xf numFmtId="194" fontId="2" fillId="9" borderId="10" xfId="33" applyFont="1" applyFill="1" applyBorder="1" applyAlignment="1">
      <alignment horizontal="right"/>
    </xf>
    <xf numFmtId="194" fontId="2" fillId="9" borderId="20" xfId="33" applyFont="1" applyFill="1" applyBorder="1" applyAlignment="1">
      <alignment horizontal="right"/>
    </xf>
    <xf numFmtId="194" fontId="2" fillId="9" borderId="10" xfId="33" applyFont="1" applyFill="1" applyBorder="1" applyAlignment="1">
      <alignment horizontal="center" vertical="center"/>
    </xf>
    <xf numFmtId="194" fontId="2" fillId="9" borderId="20" xfId="33" applyFont="1" applyFill="1" applyBorder="1" applyAlignment="1">
      <alignment horizontal="center" vertical="center"/>
    </xf>
    <xf numFmtId="194" fontId="3" fillId="8" borderId="0" xfId="33" applyFont="1" applyFill="1" applyBorder="1" applyAlignment="1">
      <alignment horizontal="right" vertical="center"/>
    </xf>
    <xf numFmtId="194" fontId="3" fillId="8" borderId="10" xfId="33" applyFont="1" applyFill="1" applyBorder="1" applyAlignment="1">
      <alignment horizontal="center" vertical="center"/>
    </xf>
    <xf numFmtId="194" fontId="2" fillId="8" borderId="10" xfId="33" applyFont="1" applyFill="1" applyBorder="1" applyAlignment="1">
      <alignment horizontal="right" vertical="center"/>
    </xf>
    <xf numFmtId="194" fontId="3" fillId="8" borderId="10" xfId="33" applyFont="1" applyFill="1" applyBorder="1" applyAlignment="1">
      <alignment horizontal="right" vertical="center"/>
    </xf>
    <xf numFmtId="194" fontId="3" fillId="8" borderId="20" xfId="33" applyFont="1" applyFill="1" applyBorder="1" applyAlignment="1">
      <alignment horizontal="right" vertical="center"/>
    </xf>
    <xf numFmtId="194" fontId="3" fillId="8" borderId="22" xfId="33" applyFont="1" applyFill="1" applyBorder="1" applyAlignment="1">
      <alignment horizontal="right" vertical="center"/>
    </xf>
    <xf numFmtId="194" fontId="2" fillId="8" borderId="20" xfId="33" applyFont="1" applyFill="1" applyBorder="1" applyAlignment="1">
      <alignment horizontal="right" vertical="center"/>
    </xf>
    <xf numFmtId="194" fontId="2" fillId="8" borderId="10" xfId="33" applyFont="1" applyFill="1" applyBorder="1" applyAlignment="1">
      <alignment horizontal="right" vertical="top" wrapText="1"/>
    </xf>
    <xf numFmtId="194" fontId="3" fillId="8" borderId="18" xfId="33" applyFont="1" applyFill="1" applyBorder="1" applyAlignment="1">
      <alignment horizontal="right" vertical="center"/>
    </xf>
    <xf numFmtId="194" fontId="2" fillId="8" borderId="0" xfId="33" applyFont="1" applyFill="1" applyBorder="1" applyAlignment="1">
      <alignment horizontal="right" vertical="center"/>
    </xf>
    <xf numFmtId="194" fontId="2" fillId="8" borderId="22" xfId="33" applyFont="1" applyFill="1" applyBorder="1" applyAlignment="1">
      <alignment horizontal="right" vertical="center"/>
    </xf>
    <xf numFmtId="194" fontId="2" fillId="8" borderId="23" xfId="33" applyFont="1" applyFill="1" applyBorder="1" applyAlignment="1">
      <alignment horizontal="right"/>
    </xf>
    <xf numFmtId="194" fontId="2" fillId="8" borderId="23" xfId="33" applyFont="1" applyFill="1" applyBorder="1" applyAlignment="1">
      <alignment horizontal="right" vertical="center"/>
    </xf>
    <xf numFmtId="194" fontId="2" fillId="8" borderId="10" xfId="33" applyFont="1" applyFill="1" applyBorder="1" applyAlignment="1">
      <alignment horizontal="right"/>
    </xf>
    <xf numFmtId="194" fontId="2" fillId="8" borderId="20" xfId="33" applyFont="1" applyFill="1" applyBorder="1" applyAlignment="1">
      <alignment horizontal="right"/>
    </xf>
    <xf numFmtId="194" fontId="2" fillId="8" borderId="10" xfId="33" applyFont="1" applyFill="1" applyBorder="1" applyAlignment="1">
      <alignment vertical="center"/>
    </xf>
    <xf numFmtId="194" fontId="3" fillId="33" borderId="0" xfId="33" applyFont="1" applyFill="1" applyBorder="1" applyAlignment="1">
      <alignment horizontal="right" vertical="center"/>
    </xf>
    <xf numFmtId="194" fontId="3" fillId="33" borderId="10" xfId="33" applyFont="1" applyFill="1" applyBorder="1" applyAlignment="1">
      <alignment horizontal="center" vertical="center"/>
    </xf>
    <xf numFmtId="194" fontId="3" fillId="33" borderId="14" xfId="33" applyFont="1" applyFill="1" applyBorder="1" applyAlignment="1">
      <alignment horizontal="center" vertical="center"/>
    </xf>
    <xf numFmtId="194" fontId="3" fillId="33" borderId="0" xfId="33" applyFont="1" applyFill="1" applyBorder="1" applyAlignment="1">
      <alignment horizontal="center" vertical="center"/>
    </xf>
    <xf numFmtId="194" fontId="2" fillId="33" borderId="10" xfId="33" applyFont="1" applyFill="1" applyBorder="1" applyAlignment="1">
      <alignment horizontal="right" vertical="center"/>
    </xf>
    <xf numFmtId="194" fontId="2" fillId="33" borderId="14" xfId="33" applyFont="1" applyFill="1" applyBorder="1" applyAlignment="1">
      <alignment horizontal="right" vertical="center"/>
    </xf>
    <xf numFmtId="194" fontId="3" fillId="33" borderId="20" xfId="33" applyFont="1" applyFill="1" applyBorder="1" applyAlignment="1">
      <alignment horizontal="right" vertical="center"/>
    </xf>
    <xf numFmtId="194" fontId="3" fillId="33" borderId="24" xfId="33" applyFont="1" applyFill="1" applyBorder="1" applyAlignment="1">
      <alignment horizontal="right" vertical="center"/>
    </xf>
    <xf numFmtId="194" fontId="3" fillId="33" borderId="22" xfId="33" applyFont="1" applyFill="1" applyBorder="1" applyAlignment="1">
      <alignment horizontal="right" vertical="center"/>
    </xf>
    <xf numFmtId="194" fontId="3" fillId="33" borderId="25" xfId="33" applyFont="1" applyFill="1" applyBorder="1" applyAlignment="1">
      <alignment horizontal="right" vertical="center"/>
    </xf>
    <xf numFmtId="194" fontId="3" fillId="33" borderId="12" xfId="33" applyFont="1" applyFill="1" applyBorder="1" applyAlignment="1">
      <alignment horizontal="right" vertical="center"/>
    </xf>
    <xf numFmtId="194" fontId="2" fillId="33" borderId="20" xfId="33" applyFont="1" applyFill="1" applyBorder="1" applyAlignment="1">
      <alignment horizontal="right" vertical="center"/>
    </xf>
    <xf numFmtId="194" fontId="2" fillId="33" borderId="24" xfId="33" applyFont="1" applyFill="1" applyBorder="1" applyAlignment="1">
      <alignment horizontal="right" vertical="center"/>
    </xf>
    <xf numFmtId="194" fontId="2" fillId="33" borderId="10" xfId="33" applyFont="1" applyFill="1" applyBorder="1" applyAlignment="1">
      <alignment horizontal="right" vertical="top"/>
    </xf>
    <xf numFmtId="194" fontId="2" fillId="33" borderId="14" xfId="33" applyFont="1" applyFill="1" applyBorder="1" applyAlignment="1">
      <alignment horizontal="right" vertical="top"/>
    </xf>
    <xf numFmtId="194" fontId="3" fillId="33" borderId="18" xfId="33" applyFont="1" applyFill="1" applyBorder="1" applyAlignment="1">
      <alignment horizontal="right" vertical="center"/>
    </xf>
    <xf numFmtId="194" fontId="2" fillId="33" borderId="0" xfId="33" applyFont="1" applyFill="1" applyBorder="1" applyAlignment="1">
      <alignment horizontal="right" vertical="center"/>
    </xf>
    <xf numFmtId="194" fontId="2" fillId="33" borderId="14" xfId="33" applyFont="1" applyFill="1" applyBorder="1" applyAlignment="1">
      <alignment horizontal="center" vertical="center"/>
    </xf>
    <xf numFmtId="194" fontId="2" fillId="33" borderId="22" xfId="33" applyFont="1" applyFill="1" applyBorder="1" applyAlignment="1">
      <alignment horizontal="right" vertical="center"/>
    </xf>
    <xf numFmtId="194" fontId="2" fillId="33" borderId="25" xfId="33" applyFont="1" applyFill="1" applyBorder="1" applyAlignment="1">
      <alignment horizontal="right" vertical="center"/>
    </xf>
    <xf numFmtId="194" fontId="3" fillId="33" borderId="10" xfId="33" applyFont="1" applyFill="1" applyBorder="1" applyAlignment="1">
      <alignment horizontal="right" vertical="center"/>
    </xf>
    <xf numFmtId="194" fontId="3" fillId="33" borderId="14" xfId="33" applyFont="1" applyFill="1" applyBorder="1" applyAlignment="1">
      <alignment horizontal="right" vertical="center"/>
    </xf>
    <xf numFmtId="194" fontId="2" fillId="33" borderId="23" xfId="33" applyFont="1" applyFill="1" applyBorder="1" applyAlignment="1">
      <alignment horizontal="right"/>
    </xf>
    <xf numFmtId="194" fontId="2" fillId="33" borderId="26" xfId="33" applyFont="1" applyFill="1" applyBorder="1" applyAlignment="1">
      <alignment horizontal="right" vertical="center"/>
    </xf>
    <xf numFmtId="194" fontId="2" fillId="33" borderId="10" xfId="33" applyFont="1" applyFill="1" applyBorder="1" applyAlignment="1">
      <alignment horizontal="right"/>
    </xf>
    <xf numFmtId="194" fontId="2" fillId="33" borderId="14" xfId="33" applyFont="1" applyFill="1" applyBorder="1" applyAlignment="1">
      <alignment horizontal="right"/>
    </xf>
    <xf numFmtId="194" fontId="2" fillId="33" borderId="24" xfId="33" applyFont="1" applyFill="1" applyBorder="1" applyAlignment="1">
      <alignment horizontal="right"/>
    </xf>
    <xf numFmtId="194" fontId="2" fillId="33" borderId="20" xfId="33" applyFont="1" applyFill="1" applyBorder="1" applyAlignment="1">
      <alignment horizontal="right"/>
    </xf>
    <xf numFmtId="194" fontId="3" fillId="34" borderId="0" xfId="33" applyFont="1" applyFill="1" applyBorder="1" applyAlignment="1">
      <alignment vertical="center"/>
    </xf>
    <xf numFmtId="194" fontId="3" fillId="34" borderId="0" xfId="33" applyFont="1" applyFill="1" applyBorder="1" applyAlignment="1">
      <alignment horizontal="right"/>
    </xf>
    <xf numFmtId="194" fontId="3" fillId="34" borderId="0" xfId="33" applyFont="1" applyFill="1" applyBorder="1" applyAlignment="1">
      <alignment horizontal="right" vertical="center"/>
    </xf>
    <xf numFmtId="194" fontId="3" fillId="34" borderId="10" xfId="33" applyFont="1" applyFill="1" applyBorder="1" applyAlignment="1">
      <alignment horizontal="center" vertical="center"/>
    </xf>
    <xf numFmtId="194" fontId="2" fillId="34" borderId="10" xfId="33" applyFont="1" applyFill="1" applyBorder="1" applyAlignment="1">
      <alignment horizontal="right" vertical="center"/>
    </xf>
    <xf numFmtId="194" fontId="2" fillId="34" borderId="20" xfId="33" applyFont="1" applyFill="1" applyBorder="1" applyAlignment="1">
      <alignment horizontal="right" vertical="center"/>
    </xf>
    <xf numFmtId="194" fontId="3" fillId="34" borderId="22" xfId="33" applyFont="1" applyFill="1" applyBorder="1" applyAlignment="1">
      <alignment horizontal="right" vertical="center"/>
    </xf>
    <xf numFmtId="194" fontId="3" fillId="34" borderId="18" xfId="33" applyFont="1" applyFill="1" applyBorder="1" applyAlignment="1">
      <alignment horizontal="right" vertical="center"/>
    </xf>
    <xf numFmtId="194" fontId="2" fillId="34" borderId="0" xfId="33" applyFont="1" applyFill="1" applyBorder="1" applyAlignment="1">
      <alignment horizontal="right" vertical="center"/>
    </xf>
    <xf numFmtId="194" fontId="3" fillId="34" borderId="20" xfId="33" applyFont="1" applyFill="1" applyBorder="1" applyAlignment="1">
      <alignment horizontal="right" vertical="center"/>
    </xf>
    <xf numFmtId="194" fontId="3" fillId="34" borderId="10" xfId="33" applyFont="1" applyFill="1" applyBorder="1" applyAlignment="1">
      <alignment horizontal="right" vertical="center"/>
    </xf>
    <xf numFmtId="194" fontId="3" fillId="34" borderId="0" xfId="33" applyFont="1" applyFill="1" applyBorder="1" applyAlignment="1">
      <alignment horizontal="center" vertical="center"/>
    </xf>
    <xf numFmtId="194" fontId="3" fillId="34" borderId="0" xfId="33" applyFont="1" applyFill="1" applyBorder="1" applyAlignment="1">
      <alignment horizontal="center"/>
    </xf>
    <xf numFmtId="194" fontId="2" fillId="33" borderId="10" xfId="33" applyFont="1" applyFill="1" applyBorder="1" applyAlignment="1">
      <alignment horizontal="center" vertical="center"/>
    </xf>
    <xf numFmtId="194" fontId="2" fillId="33" borderId="16" xfId="33" applyFont="1" applyFill="1" applyBorder="1" applyAlignment="1">
      <alignment horizontal="right" vertical="center"/>
    </xf>
    <xf numFmtId="194" fontId="2" fillId="33" borderId="23" xfId="33" applyFont="1" applyFill="1" applyBorder="1" applyAlignment="1">
      <alignment horizontal="right" vertical="center"/>
    </xf>
    <xf numFmtId="194" fontId="3" fillId="0" borderId="16" xfId="33" applyFont="1" applyFill="1" applyBorder="1" applyAlignment="1">
      <alignment vertical="center"/>
    </xf>
    <xf numFmtId="194" fontId="51" fillId="0" borderId="0" xfId="0" applyNumberFormat="1" applyFont="1" applyAlignment="1">
      <alignment/>
    </xf>
    <xf numFmtId="194" fontId="2" fillId="0" borderId="11" xfId="33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194" fontId="3" fillId="0" borderId="22" xfId="33" applyFont="1" applyFill="1" applyBorder="1" applyAlignment="1">
      <alignment/>
    </xf>
    <xf numFmtId="43" fontId="52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194" fontId="3" fillId="0" borderId="20" xfId="33" applyFont="1" applyFill="1" applyBorder="1" applyAlignment="1">
      <alignment horizontal="right" vertical="center"/>
    </xf>
    <xf numFmtId="194" fontId="2" fillId="0" borderId="20" xfId="33" applyFont="1" applyFill="1" applyBorder="1" applyAlignment="1">
      <alignment horizontal="right" vertical="center"/>
    </xf>
    <xf numFmtId="194" fontId="3" fillId="0" borderId="22" xfId="33" applyFont="1" applyFill="1" applyBorder="1" applyAlignment="1">
      <alignment horizontal="right" vertical="center"/>
    </xf>
    <xf numFmtId="194" fontId="2" fillId="0" borderId="10" xfId="33" applyFont="1" applyFill="1" applyBorder="1" applyAlignment="1">
      <alignment horizontal="center" vertical="top" wrapText="1"/>
    </xf>
    <xf numFmtId="194" fontId="2" fillId="0" borderId="10" xfId="33" applyFont="1" applyFill="1" applyBorder="1" applyAlignment="1">
      <alignment horizontal="right" vertical="top" wrapText="1"/>
    </xf>
    <xf numFmtId="194" fontId="3" fillId="0" borderId="18" xfId="33" applyFont="1" applyFill="1" applyBorder="1" applyAlignment="1">
      <alignment horizontal="right" vertical="center"/>
    </xf>
    <xf numFmtId="194" fontId="2" fillId="0" borderId="22" xfId="33" applyFont="1" applyFill="1" applyBorder="1" applyAlignment="1">
      <alignment horizontal="right" vertical="center"/>
    </xf>
    <xf numFmtId="194" fontId="3" fillId="0" borderId="10" xfId="33" applyFont="1" applyFill="1" applyBorder="1" applyAlignment="1">
      <alignment horizontal="right" vertical="center"/>
    </xf>
    <xf numFmtId="194" fontId="2" fillId="0" borderId="23" xfId="33" applyFont="1" applyFill="1" applyBorder="1" applyAlignment="1">
      <alignment horizontal="right"/>
    </xf>
    <xf numFmtId="194" fontId="2" fillId="0" borderId="23" xfId="33" applyFont="1" applyFill="1" applyBorder="1" applyAlignment="1">
      <alignment horizontal="right" vertical="center"/>
    </xf>
    <xf numFmtId="194" fontId="2" fillId="0" borderId="10" xfId="33" applyFont="1" applyFill="1" applyBorder="1" applyAlignment="1">
      <alignment horizontal="right"/>
    </xf>
    <xf numFmtId="194" fontId="2" fillId="0" borderId="20" xfId="33" applyFont="1" applyFill="1" applyBorder="1" applyAlignment="1">
      <alignment horizontal="right"/>
    </xf>
    <xf numFmtId="194" fontId="2" fillId="0" borderId="20" xfId="33" applyFont="1" applyFill="1" applyBorder="1" applyAlignment="1">
      <alignment horizontal="center" vertical="center"/>
    </xf>
    <xf numFmtId="194" fontId="3" fillId="0" borderId="23" xfId="33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51" applyFont="1" applyFill="1" applyBorder="1" applyAlignment="1">
      <alignment horizontal="center"/>
      <protection/>
    </xf>
    <xf numFmtId="0" fontId="52" fillId="0" borderId="17" xfId="0" applyFont="1" applyBorder="1" applyAlignment="1">
      <alignment horizontal="center"/>
    </xf>
    <xf numFmtId="194" fontId="2" fillId="0" borderId="23" xfId="33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194" fontId="3" fillId="0" borderId="0" xfId="33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/>
      <protection/>
    </xf>
    <xf numFmtId="199" fontId="3" fillId="0" borderId="0" xfId="49" applyNumberFormat="1" applyFont="1" applyFill="1" applyBorder="1" applyAlignment="1">
      <alignment horizontal="center"/>
      <protection/>
    </xf>
    <xf numFmtId="199" fontId="3" fillId="0" borderId="0" xfId="50" applyNumberFormat="1" applyFont="1" applyFill="1" applyAlignment="1">
      <alignment horizontal="center"/>
      <protection/>
    </xf>
    <xf numFmtId="0" fontId="6" fillId="0" borderId="0" xfId="49" applyFont="1" applyFill="1" applyBorder="1" applyAlignment="1">
      <alignment horizontal="left"/>
      <protection/>
    </xf>
    <xf numFmtId="0" fontId="3" fillId="0" borderId="0" xfId="49" applyFont="1" applyFill="1" applyBorder="1" applyAlignment="1">
      <alignment horizontal="left"/>
      <protection/>
    </xf>
    <xf numFmtId="194" fontId="3" fillId="0" borderId="20" xfId="33" applyFont="1" applyFill="1" applyBorder="1" applyAlignment="1">
      <alignment horizontal="center" wrapText="1"/>
    </xf>
    <xf numFmtId="194" fontId="3" fillId="0" borderId="23" xfId="33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เครื่องหมายจุลภาค_รายงานการเงินกค. 2548 เรียกวันที่ 15 มิ.ย.49" xfId="35"/>
    <cellStyle name="Currency" xfId="36"/>
    <cellStyle name="Currency [0]" xfId="37"/>
    <cellStyle name="เซลล์ตรวจสอบ" xfId="38"/>
    <cellStyle name="เซลล์ที่มีลิงก์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กติ_Sheet1" xfId="48"/>
    <cellStyle name="ปกติ_งบการเงินหน่วยงานภาครัฐ 2548" xfId="49"/>
    <cellStyle name="ปกติ_รายงานการเงินกค. 2548 เรียกวันที่ 15 มิ.ย.49" xfId="50"/>
    <cellStyle name="ปกติ_รูปแบบงบการเงินส่วนราชการฉบับ 5 ต.ค.2548 ล่าสุดแก้ใขในส่วนของงบกระแสเงินสด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95250</xdr:rowOff>
    </xdr:from>
    <xdr:to>
      <xdr:col>5</xdr:col>
      <xdr:colOff>304800</xdr:colOff>
      <xdr:row>5</xdr:row>
      <xdr:rowOff>209550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5250"/>
          <a:ext cx="11144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95250</xdr:rowOff>
    </xdr:from>
    <xdr:to>
      <xdr:col>5</xdr:col>
      <xdr:colOff>304800</xdr:colOff>
      <xdr:row>5</xdr:row>
      <xdr:rowOff>209550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5250"/>
          <a:ext cx="11144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352425</xdr:rowOff>
    </xdr:from>
    <xdr:to>
      <xdr:col>5</xdr:col>
      <xdr:colOff>333375</xdr:colOff>
      <xdr:row>6</xdr:row>
      <xdr:rowOff>28575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352425"/>
          <a:ext cx="11049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70"/>
  <sheetViews>
    <sheetView zoomScalePageLayoutView="0" workbookViewId="0" topLeftCell="A58">
      <selection activeCell="H43" sqref="H43"/>
    </sheetView>
  </sheetViews>
  <sheetFormatPr defaultColWidth="9.140625" defaultRowHeight="15"/>
  <cols>
    <col min="1" max="1" width="4.421875" style="28" customWidth="1"/>
    <col min="2" max="2" width="54.57421875" style="21" bestFit="1" customWidth="1"/>
    <col min="3" max="4" width="12.57421875" style="22" bestFit="1" customWidth="1"/>
    <col min="5" max="16384" width="9.00390625" style="21" customWidth="1"/>
  </cols>
  <sheetData>
    <row r="1" ht="18.75">
      <c r="A1" s="20" t="s">
        <v>0</v>
      </c>
    </row>
    <row r="2" spans="1:4" ht="18.75">
      <c r="A2" s="23" t="s">
        <v>1</v>
      </c>
      <c r="B2" s="23" t="s">
        <v>2</v>
      </c>
      <c r="C2" s="24" t="s">
        <v>3</v>
      </c>
      <c r="D2" s="24" t="s">
        <v>4</v>
      </c>
    </row>
    <row r="3" spans="1:4" ht="18.75">
      <c r="A3" s="29">
        <v>1</v>
      </c>
      <c r="B3" s="25" t="s">
        <v>5</v>
      </c>
      <c r="C3" s="26">
        <v>110000000</v>
      </c>
      <c r="D3" s="26"/>
    </row>
    <row r="4" spans="1:4" ht="18.75">
      <c r="A4" s="27"/>
      <c r="B4" s="25" t="s">
        <v>6</v>
      </c>
      <c r="C4" s="26"/>
      <c r="D4" s="26">
        <f>SUM(C3)</f>
        <v>110000000</v>
      </c>
    </row>
    <row r="5" spans="1:4" ht="18.75">
      <c r="A5" s="27"/>
      <c r="B5" s="316" t="s">
        <v>7</v>
      </c>
      <c r="C5" s="317"/>
      <c r="D5" s="318"/>
    </row>
    <row r="6" spans="1:4" ht="18.75">
      <c r="A6" s="27">
        <v>2</v>
      </c>
      <c r="B6" s="25" t="s">
        <v>8</v>
      </c>
      <c r="C6" s="31">
        <v>11751624.7</v>
      </c>
      <c r="D6" s="30"/>
    </row>
    <row r="7" spans="1:4" ht="18.75">
      <c r="A7" s="27"/>
      <c r="B7" s="25" t="s">
        <v>9</v>
      </c>
      <c r="C7" s="30"/>
      <c r="D7" s="32">
        <f>SUM(C6)</f>
        <v>11751624.7</v>
      </c>
    </row>
    <row r="8" spans="1:4" ht="18.75">
      <c r="A8" s="27"/>
      <c r="B8" s="316" t="s">
        <v>10</v>
      </c>
      <c r="C8" s="317"/>
      <c r="D8" s="318"/>
    </row>
    <row r="9" spans="1:4" ht="18.75">
      <c r="A9" s="27">
        <v>3</v>
      </c>
      <c r="B9" s="19" t="s">
        <v>11</v>
      </c>
      <c r="C9" s="26">
        <f>SUM(D10:D15)</f>
        <v>147317424.60999998</v>
      </c>
      <c r="D9" s="26"/>
    </row>
    <row r="10" spans="1:4" ht="18.75">
      <c r="A10" s="27"/>
      <c r="B10" s="25" t="s">
        <v>12</v>
      </c>
      <c r="C10" s="26"/>
      <c r="D10" s="26">
        <v>37549338.35</v>
      </c>
    </row>
    <row r="11" spans="1:4" ht="18.75">
      <c r="A11" s="27"/>
      <c r="B11" s="25" t="s">
        <v>13</v>
      </c>
      <c r="C11" s="26"/>
      <c r="D11" s="26">
        <v>26142180.5</v>
      </c>
    </row>
    <row r="12" spans="1:4" ht="18.75">
      <c r="A12" s="27"/>
      <c r="B12" s="25" t="s">
        <v>14</v>
      </c>
      <c r="C12" s="26"/>
      <c r="D12" s="26">
        <v>430265.83</v>
      </c>
    </row>
    <row r="13" spans="1:4" ht="18.75">
      <c r="A13" s="27"/>
      <c r="B13" s="25" t="s">
        <v>15</v>
      </c>
      <c r="C13" s="26"/>
      <c r="D13" s="26">
        <v>33441399.45</v>
      </c>
    </row>
    <row r="14" spans="1:4" ht="18.75">
      <c r="A14" s="27"/>
      <c r="B14" s="25" t="s">
        <v>16</v>
      </c>
      <c r="C14" s="26"/>
      <c r="D14" s="26">
        <v>41326402.48</v>
      </c>
    </row>
    <row r="15" spans="1:4" ht="18.75">
      <c r="A15" s="27"/>
      <c r="B15" s="25" t="s">
        <v>17</v>
      </c>
      <c r="C15" s="26"/>
      <c r="D15" s="26">
        <v>8427838</v>
      </c>
    </row>
    <row r="16" spans="1:4" ht="18.75">
      <c r="A16" s="27"/>
      <c r="B16" s="316" t="s">
        <v>18</v>
      </c>
      <c r="C16" s="317"/>
      <c r="D16" s="318"/>
    </row>
    <row r="17" spans="1:4" ht="18.75">
      <c r="A17" s="27">
        <v>4</v>
      </c>
      <c r="B17" s="25" t="s">
        <v>19</v>
      </c>
      <c r="C17" s="26">
        <f>SUM(D18:D22)</f>
        <v>32086098.259999998</v>
      </c>
      <c r="D17" s="26"/>
    </row>
    <row r="18" spans="1:4" ht="18.75">
      <c r="A18" s="27"/>
      <c r="B18" s="25" t="s">
        <v>20</v>
      </c>
      <c r="C18" s="26"/>
      <c r="D18" s="26">
        <v>8339606.5</v>
      </c>
    </row>
    <row r="19" spans="1:4" ht="18.75">
      <c r="A19" s="27"/>
      <c r="B19" s="25" t="s">
        <v>21</v>
      </c>
      <c r="C19" s="26"/>
      <c r="D19" s="26">
        <v>9236940.5</v>
      </c>
    </row>
    <row r="20" spans="1:4" ht="18.75">
      <c r="A20" s="27"/>
      <c r="B20" s="25" t="s">
        <v>22</v>
      </c>
      <c r="C20" s="26"/>
      <c r="D20" s="26">
        <v>6123540</v>
      </c>
    </row>
    <row r="21" spans="1:4" ht="18.75">
      <c r="A21" s="27"/>
      <c r="B21" s="25" t="s">
        <v>23</v>
      </c>
      <c r="C21" s="26"/>
      <c r="D21" s="26">
        <v>4614567.5</v>
      </c>
    </row>
    <row r="22" spans="1:4" ht="18.75">
      <c r="A22" s="27"/>
      <c r="B22" s="25" t="s">
        <v>24</v>
      </c>
      <c r="C22" s="26"/>
      <c r="D22" s="26">
        <v>3771443.76</v>
      </c>
    </row>
    <row r="23" spans="1:4" ht="18.75">
      <c r="A23" s="27"/>
      <c r="B23" s="316" t="s">
        <v>25</v>
      </c>
      <c r="C23" s="317"/>
      <c r="D23" s="318"/>
    </row>
    <row r="24" spans="1:4" ht="18.75">
      <c r="A24" s="27">
        <v>5</v>
      </c>
      <c r="B24" s="25" t="s">
        <v>26</v>
      </c>
      <c r="C24" s="26">
        <v>4000</v>
      </c>
      <c r="D24" s="26"/>
    </row>
    <row r="25" spans="1:4" ht="18.75">
      <c r="A25" s="27"/>
      <c r="B25" s="25" t="s">
        <v>27</v>
      </c>
      <c r="C25" s="26">
        <v>1000</v>
      </c>
      <c r="D25" s="26"/>
    </row>
    <row r="26" spans="1:4" ht="18.75">
      <c r="A26" s="27"/>
      <c r="B26" s="25" t="s">
        <v>28</v>
      </c>
      <c r="C26" s="26">
        <v>119000</v>
      </c>
      <c r="D26" s="26"/>
    </row>
    <row r="27" spans="1:4" ht="18.75">
      <c r="A27" s="27"/>
      <c r="B27" s="25" t="s">
        <v>29</v>
      </c>
      <c r="C27" s="26">
        <v>3000</v>
      </c>
      <c r="D27" s="26"/>
    </row>
    <row r="28" spans="1:4" ht="18.75">
      <c r="A28" s="27"/>
      <c r="B28" s="25" t="s">
        <v>30</v>
      </c>
      <c r="C28" s="26">
        <v>193000</v>
      </c>
      <c r="D28" s="26"/>
    </row>
    <row r="29" spans="1:4" ht="18.75">
      <c r="A29" s="27"/>
      <c r="B29" s="25" t="s">
        <v>31</v>
      </c>
      <c r="C29" s="26">
        <v>1868366</v>
      </c>
      <c r="D29" s="26"/>
    </row>
    <row r="30" spans="1:4" ht="18.75">
      <c r="A30" s="27"/>
      <c r="B30" s="25" t="s">
        <v>32</v>
      </c>
      <c r="C30" s="26"/>
      <c r="D30" s="26">
        <f>SUM(C24:C29)</f>
        <v>2188366</v>
      </c>
    </row>
    <row r="31" spans="1:4" ht="18.75">
      <c r="A31" s="27"/>
      <c r="B31" s="316" t="s">
        <v>33</v>
      </c>
      <c r="C31" s="317"/>
      <c r="D31" s="318"/>
    </row>
    <row r="32" spans="1:4" ht="18.75">
      <c r="A32" s="27">
        <v>6</v>
      </c>
      <c r="B32" s="25" t="s">
        <v>34</v>
      </c>
      <c r="C32" s="26">
        <v>43419931.88</v>
      </c>
      <c r="D32" s="26"/>
    </row>
    <row r="33" spans="1:4" ht="18.75">
      <c r="A33" s="27"/>
      <c r="B33" s="25" t="s">
        <v>32</v>
      </c>
      <c r="C33" s="26"/>
      <c r="D33" s="26">
        <f>SUM(C32)</f>
        <v>43419931.88</v>
      </c>
    </row>
    <row r="34" spans="1:4" ht="18.75">
      <c r="A34" s="27"/>
      <c r="B34" s="316" t="s">
        <v>35</v>
      </c>
      <c r="C34" s="317"/>
      <c r="D34" s="318"/>
    </row>
    <row r="35" spans="1:4" ht="18.75">
      <c r="A35" s="27"/>
      <c r="B35" s="25" t="s">
        <v>36</v>
      </c>
      <c r="C35" s="26">
        <v>5000000</v>
      </c>
      <c r="D35" s="26"/>
    </row>
    <row r="36" spans="1:4" ht="18.75">
      <c r="A36" s="27"/>
      <c r="B36" s="25" t="s">
        <v>37</v>
      </c>
      <c r="C36" s="26"/>
      <c r="D36" s="26">
        <f>SUM(C35)</f>
        <v>5000000</v>
      </c>
    </row>
    <row r="37" spans="1:4" ht="18.75">
      <c r="A37" s="27"/>
      <c r="B37" s="316" t="s">
        <v>38</v>
      </c>
      <c r="C37" s="317"/>
      <c r="D37" s="318"/>
    </row>
    <row r="38" spans="1:4" s="39" customFormat="1" ht="18.75">
      <c r="A38" s="37"/>
      <c r="B38" s="38"/>
      <c r="C38" s="38"/>
      <c r="D38" s="38"/>
    </row>
    <row r="39" spans="1:4" ht="18.75">
      <c r="A39" s="27">
        <v>7</v>
      </c>
      <c r="B39" s="25" t="s">
        <v>39</v>
      </c>
      <c r="C39" s="26">
        <v>6963177.6</v>
      </c>
      <c r="D39" s="26"/>
    </row>
    <row r="40" spans="1:4" ht="18.75">
      <c r="A40" s="27"/>
      <c r="B40" s="25" t="s">
        <v>40</v>
      </c>
      <c r="C40" s="26">
        <v>7821190.01</v>
      </c>
      <c r="D40" s="26"/>
    </row>
    <row r="41" spans="1:4" ht="18.75">
      <c r="A41" s="27"/>
      <c r="B41" s="25" t="s">
        <v>41</v>
      </c>
      <c r="C41" s="26">
        <v>168152.5</v>
      </c>
      <c r="D41" s="26"/>
    </row>
    <row r="42" spans="1:4" ht="18.75">
      <c r="A42" s="27"/>
      <c r="B42" s="25" t="s">
        <v>42</v>
      </c>
      <c r="C42" s="26">
        <v>61500</v>
      </c>
      <c r="D42" s="26"/>
    </row>
    <row r="43" spans="1:4" ht="18.75">
      <c r="A43" s="27"/>
      <c r="B43" s="25" t="s">
        <v>12</v>
      </c>
      <c r="C43" s="26"/>
      <c r="D43" s="26">
        <v>11462241.31</v>
      </c>
    </row>
    <row r="44" spans="1:4" ht="18.75">
      <c r="A44" s="27"/>
      <c r="B44" s="25" t="s">
        <v>43</v>
      </c>
      <c r="C44" s="26"/>
      <c r="D44" s="26">
        <v>3551778.8</v>
      </c>
    </row>
    <row r="45" spans="1:4" ht="18.75">
      <c r="A45" s="27"/>
      <c r="B45" s="316" t="s">
        <v>44</v>
      </c>
      <c r="C45" s="317"/>
      <c r="D45" s="318"/>
    </row>
    <row r="46" spans="1:4" ht="18.75">
      <c r="A46" s="27"/>
      <c r="B46" s="57"/>
      <c r="C46" s="58"/>
      <c r="D46" s="59"/>
    </row>
    <row r="47" spans="1:4" ht="18.75">
      <c r="A47" s="27"/>
      <c r="B47" s="25" t="s">
        <v>39</v>
      </c>
      <c r="C47" s="26">
        <v>3975010.58</v>
      </c>
      <c r="D47" s="26"/>
    </row>
    <row r="48" spans="1:4" ht="18.75">
      <c r="A48" s="27"/>
      <c r="B48" s="25" t="s">
        <v>40</v>
      </c>
      <c r="C48" s="26">
        <v>2154363.18</v>
      </c>
      <c r="D48" s="26"/>
    </row>
    <row r="49" spans="1:4" ht="18.75">
      <c r="A49" s="27"/>
      <c r="B49" s="25" t="s">
        <v>42</v>
      </c>
      <c r="C49" s="26">
        <v>78800.87</v>
      </c>
      <c r="D49" s="26"/>
    </row>
    <row r="50" spans="1:4" ht="18.75">
      <c r="A50" s="27"/>
      <c r="B50" s="25" t="s">
        <v>45</v>
      </c>
      <c r="C50" s="26"/>
      <c r="D50" s="26">
        <f>SUM(C47:C49)</f>
        <v>6208174.63</v>
      </c>
    </row>
    <row r="51" spans="1:4" ht="18.75">
      <c r="A51" s="27"/>
      <c r="B51" s="316" t="s">
        <v>46</v>
      </c>
      <c r="C51" s="317"/>
      <c r="D51" s="318"/>
    </row>
    <row r="52" spans="1:4" ht="18.75">
      <c r="A52" s="27"/>
      <c r="B52" s="25" t="s">
        <v>39</v>
      </c>
      <c r="C52" s="26">
        <v>9930000</v>
      </c>
      <c r="D52" s="26"/>
    </row>
    <row r="53" spans="1:4" ht="18.75">
      <c r="A53" s="27"/>
      <c r="B53" s="25" t="s">
        <v>40</v>
      </c>
      <c r="C53" s="26">
        <v>5625044</v>
      </c>
      <c r="D53" s="26"/>
    </row>
    <row r="54" spans="1:4" ht="18.75">
      <c r="A54" s="27"/>
      <c r="B54" s="25" t="s">
        <v>41</v>
      </c>
      <c r="C54" s="26">
        <v>73342.2</v>
      </c>
      <c r="D54" s="26"/>
    </row>
    <row r="55" spans="1:4" ht="18.75">
      <c r="A55" s="27"/>
      <c r="B55" s="25" t="s">
        <v>42</v>
      </c>
      <c r="C55" s="26">
        <v>92819.5</v>
      </c>
      <c r="D55" s="26"/>
    </row>
    <row r="56" spans="1:4" ht="18.75">
      <c r="A56" s="27"/>
      <c r="B56" s="25" t="s">
        <v>47</v>
      </c>
      <c r="C56" s="26"/>
      <c r="D56" s="26">
        <f>SUM(C52:C55)</f>
        <v>15721205.7</v>
      </c>
    </row>
    <row r="57" spans="1:4" ht="18.75">
      <c r="A57" s="27"/>
      <c r="B57" s="316" t="s">
        <v>48</v>
      </c>
      <c r="C57" s="317"/>
      <c r="D57" s="318"/>
    </row>
    <row r="58" spans="1:4" ht="18.75">
      <c r="A58" s="27"/>
      <c r="B58" s="25" t="s">
        <v>39</v>
      </c>
      <c r="C58" s="26">
        <v>2736000</v>
      </c>
      <c r="D58" s="26"/>
    </row>
    <row r="59" spans="1:4" ht="18.75">
      <c r="A59" s="27"/>
      <c r="B59" s="25" t="s">
        <v>40</v>
      </c>
      <c r="C59" s="26">
        <v>2952673</v>
      </c>
      <c r="D59" s="26"/>
    </row>
    <row r="60" spans="1:4" ht="18.75">
      <c r="A60" s="27"/>
      <c r="B60" s="25" t="s">
        <v>41</v>
      </c>
      <c r="C60" s="26">
        <v>176633.64</v>
      </c>
      <c r="D60" s="26"/>
    </row>
    <row r="61" spans="1:4" ht="18.75">
      <c r="A61" s="27"/>
      <c r="B61" s="25" t="s">
        <v>42</v>
      </c>
      <c r="C61" s="26">
        <v>133500</v>
      </c>
      <c r="D61" s="26"/>
    </row>
    <row r="62" spans="1:4" ht="18.75">
      <c r="A62" s="27"/>
      <c r="B62" s="25" t="s">
        <v>49</v>
      </c>
      <c r="C62" s="26"/>
      <c r="D62" s="26">
        <f>SUM(C59)</f>
        <v>2952673</v>
      </c>
    </row>
    <row r="63" spans="1:4" ht="18.75">
      <c r="A63" s="27"/>
      <c r="B63" s="25" t="s">
        <v>50</v>
      </c>
      <c r="C63" s="26"/>
      <c r="D63" s="26">
        <f>SUM(C58,C60:C61)</f>
        <v>3046133.64</v>
      </c>
    </row>
    <row r="64" spans="1:4" ht="18.75">
      <c r="A64" s="27"/>
      <c r="B64" s="316" t="s">
        <v>51</v>
      </c>
      <c r="C64" s="317"/>
      <c r="D64" s="318"/>
    </row>
    <row r="65" spans="1:4" ht="18.75">
      <c r="A65" s="27"/>
      <c r="B65" s="25" t="s">
        <v>39</v>
      </c>
      <c r="C65" s="26">
        <v>5166000</v>
      </c>
      <c r="D65" s="26"/>
    </row>
    <row r="66" spans="1:4" ht="18.75">
      <c r="A66" s="27"/>
      <c r="B66" s="25" t="s">
        <v>40</v>
      </c>
      <c r="C66" s="26">
        <v>2742401.9</v>
      </c>
      <c r="D66" s="26"/>
    </row>
    <row r="67" spans="1:4" ht="18.75">
      <c r="A67" s="27"/>
      <c r="B67" s="25" t="s">
        <v>41</v>
      </c>
      <c r="C67" s="26">
        <v>73632.5</v>
      </c>
      <c r="D67" s="26"/>
    </row>
    <row r="68" spans="1:4" ht="18.75">
      <c r="A68" s="27"/>
      <c r="B68" s="25" t="s">
        <v>42</v>
      </c>
      <c r="C68" s="26">
        <v>62100</v>
      </c>
      <c r="D68" s="26"/>
    </row>
    <row r="69" spans="1:4" ht="18.75">
      <c r="A69" s="27"/>
      <c r="B69" s="25" t="s">
        <v>52</v>
      </c>
      <c r="C69" s="26"/>
      <c r="D69" s="26">
        <f>SUM(C66)</f>
        <v>2742401.9</v>
      </c>
    </row>
    <row r="70" spans="1:4" ht="18.75">
      <c r="A70" s="27"/>
      <c r="B70" s="316" t="s">
        <v>53</v>
      </c>
      <c r="C70" s="317"/>
      <c r="D70" s="318"/>
    </row>
  </sheetData>
  <sheetProtection/>
  <mergeCells count="12">
    <mergeCell ref="B45:D45"/>
    <mergeCell ref="B51:D51"/>
    <mergeCell ref="B57:D57"/>
    <mergeCell ref="B64:D64"/>
    <mergeCell ref="B70:D70"/>
    <mergeCell ref="B5:D5"/>
    <mergeCell ref="B34:D34"/>
    <mergeCell ref="B37:D37"/>
    <mergeCell ref="B31:D31"/>
    <mergeCell ref="B8:D8"/>
    <mergeCell ref="B16:D16"/>
    <mergeCell ref="B23:D23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K322"/>
  <sheetViews>
    <sheetView tabSelected="1" zoomScaleSheetLayoutView="100" zoomScalePageLayoutView="0" workbookViewId="0" topLeftCell="A1">
      <pane xSplit="1" ySplit="4" topLeftCell="AM1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Q133" sqref="AQ133"/>
    </sheetView>
  </sheetViews>
  <sheetFormatPr defaultColWidth="11.00390625" defaultRowHeight="15"/>
  <cols>
    <col min="1" max="1" width="51.8515625" style="17" bestFit="1" customWidth="1"/>
    <col min="2" max="2" width="14.421875" style="263" hidden="1" customWidth="1"/>
    <col min="3" max="3" width="14.140625" style="263" hidden="1" customWidth="1"/>
    <col min="4" max="4" width="14.421875" style="263" hidden="1" customWidth="1"/>
    <col min="5" max="5" width="14.140625" style="263" hidden="1" customWidth="1"/>
    <col min="6" max="6" width="14.28125" style="247" hidden="1" customWidth="1"/>
    <col min="7" max="7" width="12.7109375" style="106" hidden="1" customWidth="1"/>
    <col min="8" max="8" width="12.57421875" style="137" hidden="1" customWidth="1"/>
    <col min="9" max="13" width="12.7109375" style="240" hidden="1" customWidth="1"/>
    <col min="14" max="14" width="11.7109375" style="50" hidden="1" customWidth="1"/>
    <col min="15" max="15" width="12.57421875" style="222" hidden="1" customWidth="1"/>
    <col min="16" max="16" width="11.7109375" style="222" hidden="1" customWidth="1"/>
    <col min="17" max="17" width="12.57421875" style="222" hidden="1" customWidth="1"/>
    <col min="18" max="18" width="11.7109375" style="222" hidden="1" customWidth="1"/>
    <col min="19" max="19" width="12.57421875" style="222" hidden="1" customWidth="1"/>
    <col min="20" max="20" width="10.8515625" style="50" hidden="1" customWidth="1"/>
    <col min="21" max="21" width="12.7109375" style="205" hidden="1" customWidth="1"/>
    <col min="22" max="22" width="12.140625" style="205" hidden="1" customWidth="1"/>
    <col min="23" max="23" width="12.7109375" style="205" hidden="1" customWidth="1"/>
    <col min="24" max="24" width="12.140625" style="205" hidden="1" customWidth="1"/>
    <col min="25" max="25" width="13.00390625" style="205" hidden="1" customWidth="1"/>
    <col min="26" max="26" width="11.7109375" style="50" hidden="1" customWidth="1"/>
    <col min="27" max="27" width="12.7109375" style="187" hidden="1" customWidth="1"/>
    <col min="28" max="28" width="12.57421875" style="187" hidden="1" customWidth="1"/>
    <col min="29" max="29" width="12.7109375" style="187" hidden="1" customWidth="1"/>
    <col min="30" max="30" width="12.57421875" style="187" hidden="1" customWidth="1"/>
    <col min="31" max="31" width="13.00390625" style="187" hidden="1" customWidth="1"/>
    <col min="32" max="32" width="20.421875" style="93" hidden="1" customWidth="1"/>
    <col min="33" max="36" width="13.00390625" style="169" hidden="1" customWidth="1"/>
    <col min="37" max="37" width="13.140625" style="169" hidden="1" customWidth="1"/>
    <col min="38" max="38" width="30.140625" style="50" hidden="1" customWidth="1"/>
    <col min="39" max="39" width="13.421875" style="93" customWidth="1"/>
    <col min="40" max="40" width="14.140625" style="93" customWidth="1"/>
    <col min="41" max="41" width="14.28125" style="93" customWidth="1"/>
    <col min="42" max="42" width="14.00390625" style="93" customWidth="1"/>
    <col min="43" max="43" width="13.8515625" style="93" customWidth="1"/>
    <col min="44" max="44" width="14.7109375" style="93" customWidth="1"/>
    <col min="45" max="45" width="11.7109375" style="50" hidden="1" customWidth="1"/>
    <col min="46" max="49" width="14.28125" style="283" hidden="1" customWidth="1"/>
    <col min="50" max="50" width="14.421875" style="283" hidden="1" customWidth="1"/>
    <col min="51" max="51" width="38.7109375" style="50" hidden="1" customWidth="1"/>
    <col min="52" max="52" width="33.7109375" style="137" hidden="1" customWidth="1"/>
    <col min="53" max="53" width="30.140625" style="50" hidden="1" customWidth="1"/>
    <col min="54" max="54" width="14.421875" style="50" hidden="1" customWidth="1"/>
    <col min="55" max="55" width="11.7109375" style="50" bestFit="1" customWidth="1"/>
    <col min="56" max="56" width="10.8515625" style="50" bestFit="1" customWidth="1"/>
    <col min="57" max="60" width="8.7109375" style="50" bestFit="1" customWidth="1"/>
    <col min="61" max="61" width="14.7109375" style="43" bestFit="1" customWidth="1"/>
    <col min="62" max="63" width="11.7109375" style="43" bestFit="1" customWidth="1"/>
    <col min="64" max="16384" width="11.00390625" style="43" customWidth="1"/>
  </cols>
  <sheetData>
    <row r="1" spans="1:60" s="44" customFormat="1" ht="18.75">
      <c r="A1" s="334" t="s">
        <v>564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45"/>
      <c r="AT1" s="286" t="s">
        <v>385</v>
      </c>
      <c r="AU1" s="286" t="s">
        <v>385</v>
      </c>
      <c r="AV1" s="286" t="s">
        <v>385</v>
      </c>
      <c r="AW1" s="286" t="s">
        <v>385</v>
      </c>
      <c r="AX1" s="287"/>
      <c r="AY1" s="45"/>
      <c r="AZ1" s="145"/>
      <c r="BA1" s="45"/>
      <c r="BB1" s="45"/>
      <c r="BC1" s="45"/>
      <c r="BD1" s="45"/>
      <c r="BE1" s="45"/>
      <c r="BF1" s="45"/>
      <c r="BG1" s="45"/>
      <c r="BH1" s="45"/>
    </row>
    <row r="2" spans="1:50" ht="18.75">
      <c r="A2" s="334" t="s">
        <v>99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T2" s="275"/>
      <c r="AU2" s="275"/>
      <c r="AV2" s="275"/>
      <c r="AW2" s="275"/>
      <c r="AX2" s="276"/>
    </row>
    <row r="3" spans="1:50" ht="18.75">
      <c r="A3" s="334" t="s">
        <v>497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T3" s="275"/>
      <c r="AU3" s="275"/>
      <c r="AV3" s="275"/>
      <c r="AW3" s="275"/>
      <c r="AX3" s="275"/>
    </row>
    <row r="4" spans="2:50" ht="18.75">
      <c r="B4" s="330" t="s">
        <v>493</v>
      </c>
      <c r="C4" s="330"/>
      <c r="D4" s="330" t="s">
        <v>494</v>
      </c>
      <c r="E4" s="330"/>
      <c r="F4" s="247" t="s">
        <v>58</v>
      </c>
      <c r="I4" s="330" t="s">
        <v>493</v>
      </c>
      <c r="J4" s="330"/>
      <c r="K4" s="330" t="s">
        <v>494</v>
      </c>
      <c r="L4" s="330"/>
      <c r="M4" s="231" t="s">
        <v>58</v>
      </c>
      <c r="O4" s="330" t="s">
        <v>493</v>
      </c>
      <c r="P4" s="330"/>
      <c r="Q4" s="330" t="s">
        <v>494</v>
      </c>
      <c r="R4" s="330"/>
      <c r="S4" s="214" t="s">
        <v>58</v>
      </c>
      <c r="U4" s="330" t="s">
        <v>493</v>
      </c>
      <c r="V4" s="330"/>
      <c r="W4" s="330" t="s">
        <v>494</v>
      </c>
      <c r="X4" s="330"/>
      <c r="Y4" s="197" t="s">
        <v>58</v>
      </c>
      <c r="AA4" s="330" t="s">
        <v>493</v>
      </c>
      <c r="AB4" s="330"/>
      <c r="AC4" s="330" t="s">
        <v>494</v>
      </c>
      <c r="AD4" s="330"/>
      <c r="AE4" s="179" t="s">
        <v>58</v>
      </c>
      <c r="AF4" s="106"/>
      <c r="AG4" s="330" t="s">
        <v>493</v>
      </c>
      <c r="AH4" s="330"/>
      <c r="AI4" s="330" t="s">
        <v>494</v>
      </c>
      <c r="AJ4" s="330"/>
      <c r="AK4" s="161" t="s">
        <v>58</v>
      </c>
      <c r="AM4" s="330" t="s">
        <v>493</v>
      </c>
      <c r="AN4" s="330"/>
      <c r="AO4" s="305" t="s">
        <v>58</v>
      </c>
      <c r="AP4" s="330" t="s">
        <v>494</v>
      </c>
      <c r="AQ4" s="330"/>
      <c r="AR4" s="305" t="s">
        <v>58</v>
      </c>
      <c r="AT4" s="277"/>
      <c r="AU4" s="277"/>
      <c r="AV4" s="277"/>
      <c r="AW4" s="277"/>
      <c r="AX4" s="277" t="s">
        <v>58</v>
      </c>
    </row>
    <row r="5" spans="1:50" ht="18.75">
      <c r="A5" s="51"/>
      <c r="B5" s="248" t="s">
        <v>56</v>
      </c>
      <c r="C5" s="249" t="s">
        <v>57</v>
      </c>
      <c r="D5" s="248" t="s">
        <v>56</v>
      </c>
      <c r="E5" s="248" t="s">
        <v>57</v>
      </c>
      <c r="F5" s="250"/>
      <c r="G5" s="97"/>
      <c r="I5" s="232" t="s">
        <v>56</v>
      </c>
      <c r="J5" s="232" t="s">
        <v>57</v>
      </c>
      <c r="K5" s="232" t="s">
        <v>56</v>
      </c>
      <c r="L5" s="232" t="s">
        <v>57</v>
      </c>
      <c r="M5" s="232" t="s">
        <v>101</v>
      </c>
      <c r="O5" s="215" t="s">
        <v>56</v>
      </c>
      <c r="P5" s="215" t="s">
        <v>57</v>
      </c>
      <c r="Q5" s="215" t="s">
        <v>56</v>
      </c>
      <c r="R5" s="215" t="s">
        <v>57</v>
      </c>
      <c r="S5" s="215" t="s">
        <v>101</v>
      </c>
      <c r="U5" s="198" t="s">
        <v>56</v>
      </c>
      <c r="V5" s="198" t="s">
        <v>57</v>
      </c>
      <c r="W5" s="198" t="s">
        <v>56</v>
      </c>
      <c r="X5" s="198" t="s">
        <v>57</v>
      </c>
      <c r="Y5" s="198" t="s">
        <v>101</v>
      </c>
      <c r="AA5" s="180" t="s">
        <v>56</v>
      </c>
      <c r="AB5" s="180" t="s">
        <v>57</v>
      </c>
      <c r="AC5" s="180" t="s">
        <v>56</v>
      </c>
      <c r="AD5" s="180" t="s">
        <v>57</v>
      </c>
      <c r="AE5" s="180" t="s">
        <v>101</v>
      </c>
      <c r="AF5" s="97"/>
      <c r="AG5" s="162" t="s">
        <v>56</v>
      </c>
      <c r="AH5" s="162" t="s">
        <v>57</v>
      </c>
      <c r="AI5" s="162" t="s">
        <v>56</v>
      </c>
      <c r="AJ5" s="162" t="s">
        <v>57</v>
      </c>
      <c r="AK5" s="162" t="s">
        <v>101</v>
      </c>
      <c r="AM5" s="18" t="s">
        <v>56</v>
      </c>
      <c r="AN5" s="18" t="s">
        <v>57</v>
      </c>
      <c r="AO5" s="18" t="s">
        <v>101</v>
      </c>
      <c r="AP5" s="18" t="s">
        <v>56</v>
      </c>
      <c r="AQ5" s="18" t="s">
        <v>57</v>
      </c>
      <c r="AR5" s="18" t="s">
        <v>101</v>
      </c>
      <c r="AT5" s="278" t="s">
        <v>56</v>
      </c>
      <c r="AU5" s="278" t="s">
        <v>57</v>
      </c>
      <c r="AV5" s="278" t="s">
        <v>56</v>
      </c>
      <c r="AW5" s="278" t="s">
        <v>57</v>
      </c>
      <c r="AX5" s="278" t="s">
        <v>101</v>
      </c>
    </row>
    <row r="6" spans="1:50" ht="18.75">
      <c r="A6" s="51" t="s">
        <v>216</v>
      </c>
      <c r="B6" s="248"/>
      <c r="C6" s="249"/>
      <c r="D6" s="248"/>
      <c r="E6" s="248"/>
      <c r="F6" s="250"/>
      <c r="G6" s="97"/>
      <c r="I6" s="232"/>
      <c r="J6" s="232"/>
      <c r="K6" s="232"/>
      <c r="L6" s="232"/>
      <c r="M6" s="232"/>
      <c r="O6" s="215"/>
      <c r="P6" s="215"/>
      <c r="Q6" s="215"/>
      <c r="R6" s="215"/>
      <c r="S6" s="215"/>
      <c r="U6" s="198"/>
      <c r="V6" s="198"/>
      <c r="W6" s="198"/>
      <c r="X6" s="198"/>
      <c r="Y6" s="198"/>
      <c r="AA6" s="180"/>
      <c r="AB6" s="180"/>
      <c r="AC6" s="180"/>
      <c r="AD6" s="180"/>
      <c r="AE6" s="180"/>
      <c r="AF6" s="97"/>
      <c r="AG6" s="162"/>
      <c r="AH6" s="162"/>
      <c r="AI6" s="162"/>
      <c r="AJ6" s="162"/>
      <c r="AK6" s="162"/>
      <c r="AM6" s="18"/>
      <c r="AN6" s="18"/>
      <c r="AO6" s="18"/>
      <c r="AP6" s="18"/>
      <c r="AQ6" s="18"/>
      <c r="AR6" s="18"/>
      <c r="AT6" s="278"/>
      <c r="AU6" s="278"/>
      <c r="AV6" s="278"/>
      <c r="AW6" s="278"/>
      <c r="AX6" s="278"/>
    </row>
    <row r="7" spans="1:50" ht="18.75">
      <c r="A7" s="43" t="s">
        <v>103</v>
      </c>
      <c r="B7" s="251"/>
      <c r="C7" s="252"/>
      <c r="D7" s="251">
        <v>0</v>
      </c>
      <c r="E7" s="251">
        <v>0</v>
      </c>
      <c r="F7" s="247">
        <f>SUM(B7:C7)</f>
        <v>0</v>
      </c>
      <c r="I7" s="233"/>
      <c r="J7" s="233"/>
      <c r="K7" s="233"/>
      <c r="L7" s="233"/>
      <c r="M7" s="233">
        <f>SUM(K7:L7)</f>
        <v>0</v>
      </c>
      <c r="O7" s="216"/>
      <c r="P7" s="216"/>
      <c r="Q7" s="216"/>
      <c r="R7" s="216"/>
      <c r="S7" s="216">
        <f>SUM(Q7:R7)</f>
        <v>0</v>
      </c>
      <c r="U7" s="199"/>
      <c r="V7" s="199"/>
      <c r="W7" s="199"/>
      <c r="X7" s="199">
        <v>3037103.43</v>
      </c>
      <c r="Y7" s="199">
        <f>SUM(W7:X7)</f>
        <v>3037103.43</v>
      </c>
      <c r="AA7" s="181"/>
      <c r="AB7" s="181"/>
      <c r="AC7" s="181"/>
      <c r="AD7" s="181">
        <v>20000</v>
      </c>
      <c r="AE7" s="181">
        <f>SUM(AC7:AD7)</f>
        <v>20000</v>
      </c>
      <c r="AG7" s="163"/>
      <c r="AH7" s="163"/>
      <c r="AI7" s="163"/>
      <c r="AJ7" s="163"/>
      <c r="AK7" s="163">
        <f>SUM(AI7:AJ7)</f>
        <v>0</v>
      </c>
      <c r="AM7" s="107">
        <v>0</v>
      </c>
      <c r="AN7" s="107">
        <v>0</v>
      </c>
      <c r="AO7" s="107">
        <f>SUM(AM7:AN7)</f>
        <v>0</v>
      </c>
      <c r="AP7" s="107">
        <v>0</v>
      </c>
      <c r="AQ7" s="107">
        <v>0</v>
      </c>
      <c r="AR7" s="107">
        <f>SUM(AP7:AQ7)</f>
        <v>0</v>
      </c>
      <c r="AT7" s="279" t="e">
        <f>+#REF!+I7+O7+U7+AA7+AG7+AM7</f>
        <v>#REF!</v>
      </c>
      <c r="AU7" s="279" t="e">
        <f>+A7+J7+P7+V7+AB7+AH7+AN7</f>
        <v>#VALUE!</v>
      </c>
      <c r="AV7" s="279">
        <f>+B7+K7+Q7+W7+AC7+AI7+AP7</f>
        <v>0</v>
      </c>
      <c r="AW7" s="279">
        <f>+C7+L7+R7+X7+AD7+AJ7+AQ7</f>
        <v>3057103.43</v>
      </c>
      <c r="AX7" s="279">
        <f>SUM(AV7:AW7)</f>
        <v>3057103.43</v>
      </c>
    </row>
    <row r="8" spans="1:50" ht="18.75">
      <c r="A8" s="43" t="s">
        <v>486</v>
      </c>
      <c r="B8" s="251"/>
      <c r="C8" s="252"/>
      <c r="D8" s="251">
        <f>+'หมายเหตุ 30'!F51</f>
        <v>3234161.1899999995</v>
      </c>
      <c r="E8" s="251">
        <f>+'หมายเหตุ 30'!G51</f>
        <v>0</v>
      </c>
      <c r="F8" s="247">
        <f>+B8+C8</f>
        <v>0</v>
      </c>
      <c r="I8" s="234"/>
      <c r="J8" s="234"/>
      <c r="K8" s="234">
        <v>70590</v>
      </c>
      <c r="L8" s="234">
        <v>18413107.96</v>
      </c>
      <c r="M8" s="234">
        <f>SUM(K8:L8)</f>
        <v>18483697.96</v>
      </c>
      <c r="O8" s="216"/>
      <c r="P8" s="216"/>
      <c r="Q8" s="216">
        <v>1263871</v>
      </c>
      <c r="R8" s="216">
        <v>5391601.3</v>
      </c>
      <c r="S8" s="216">
        <f>SUM(Q8:R8)</f>
        <v>6655472.3</v>
      </c>
      <c r="U8" s="199"/>
      <c r="V8" s="199"/>
      <c r="W8" s="199">
        <v>1583338.22</v>
      </c>
      <c r="X8" s="199">
        <v>8135075.52</v>
      </c>
      <c r="Y8" s="199">
        <f>SUM(W8:X8)</f>
        <v>9718413.74</v>
      </c>
      <c r="AA8" s="181"/>
      <c r="AB8" s="181"/>
      <c r="AC8" s="181">
        <v>2487469.11</v>
      </c>
      <c r="AD8" s="181">
        <v>10811631.61</v>
      </c>
      <c r="AE8" s="181">
        <f>SUM(AC8:AD8)</f>
        <v>13299100.719999999</v>
      </c>
      <c r="AG8" s="163"/>
      <c r="AH8" s="163"/>
      <c r="AI8" s="163">
        <v>3309791</v>
      </c>
      <c r="AJ8" s="163">
        <v>39135834.78</v>
      </c>
      <c r="AK8" s="163">
        <f>SUM(AI8:AJ8)</f>
        <v>42445625.78</v>
      </c>
      <c r="AM8" s="107">
        <v>159102.86999999988</v>
      </c>
      <c r="AN8" s="107">
        <v>3075058.32</v>
      </c>
      <c r="AO8" s="107">
        <f>SUM(AM8:AN8)</f>
        <v>3234161.1899999995</v>
      </c>
      <c r="AP8" s="107">
        <v>375052.87</v>
      </c>
      <c r="AQ8" s="107">
        <v>3277664.77</v>
      </c>
      <c r="AR8" s="107">
        <f>SUM(AP8:AQ8)</f>
        <v>3652717.64</v>
      </c>
      <c r="AT8" s="279" t="e">
        <f>+'หมายเหตุ 30'!#REF!</f>
        <v>#REF!</v>
      </c>
      <c r="AU8" s="279" t="e">
        <f>+'หมายเหตุ 30'!#REF!</f>
        <v>#REF!</v>
      </c>
      <c r="AV8" s="279" t="e">
        <f>+'หมายเหตุ 30'!#REF!</f>
        <v>#REF!</v>
      </c>
      <c r="AW8" s="279" t="e">
        <f>+'หมายเหตุ 30'!#REF!</f>
        <v>#REF!</v>
      </c>
      <c r="AX8" s="279" t="e">
        <f>SUM(AV8:AW8)</f>
        <v>#REF!</v>
      </c>
    </row>
    <row r="9" spans="1:50" ht="18.75">
      <c r="A9" s="43" t="s">
        <v>104</v>
      </c>
      <c r="B9" s="251"/>
      <c r="C9" s="252"/>
      <c r="D9" s="251">
        <v>0</v>
      </c>
      <c r="E9" s="251">
        <v>236641255.24</v>
      </c>
      <c r="F9" s="247">
        <f>+B9+C9</f>
        <v>0</v>
      </c>
      <c r="I9" s="234"/>
      <c r="J9" s="234"/>
      <c r="K9" s="234"/>
      <c r="L9" s="234">
        <v>5785843.39</v>
      </c>
      <c r="M9" s="234">
        <f>SUM(K9:L9)</f>
        <v>5785843.39</v>
      </c>
      <c r="O9" s="216"/>
      <c r="P9" s="216"/>
      <c r="Q9" s="216"/>
      <c r="R9" s="216">
        <v>93137</v>
      </c>
      <c r="S9" s="216">
        <f>SUM(Q9:R9)</f>
        <v>93137</v>
      </c>
      <c r="U9" s="199"/>
      <c r="V9" s="199"/>
      <c r="W9" s="199"/>
      <c r="X9" s="199">
        <v>10306491.25</v>
      </c>
      <c r="Y9" s="199">
        <f>SUM(W9:X9)</f>
        <v>10306491.25</v>
      </c>
      <c r="AA9" s="181"/>
      <c r="AB9" s="181"/>
      <c r="AC9" s="181">
        <v>85500</v>
      </c>
      <c r="AD9" s="181">
        <v>13796025.25</v>
      </c>
      <c r="AE9" s="181">
        <f>SUM(AC9:AD9)</f>
        <v>13881525.25</v>
      </c>
      <c r="AG9" s="163"/>
      <c r="AH9" s="163"/>
      <c r="AI9" s="163"/>
      <c r="AJ9" s="163">
        <v>28036107.04</v>
      </c>
      <c r="AK9" s="163">
        <f>SUM(AI9:AJ9)</f>
        <v>28036107.04</v>
      </c>
      <c r="AM9" s="107">
        <v>0</v>
      </c>
      <c r="AN9" s="107">
        <v>5139173.23</v>
      </c>
      <c r="AO9" s="107">
        <f>SUM(AM9:AN9)</f>
        <v>5139173.23</v>
      </c>
      <c r="AP9" s="107">
        <v>0</v>
      </c>
      <c r="AQ9" s="107">
        <v>2828216.03</v>
      </c>
      <c r="AR9" s="107">
        <f>SUM(AP9:AQ9)</f>
        <v>2828216.03</v>
      </c>
      <c r="AT9" s="279" t="e">
        <f>+#REF!+I9+O9+U9+AA9+AG9+AM9</f>
        <v>#REF!</v>
      </c>
      <c r="AU9" s="279" t="e">
        <f>+A9+J9+P9+V9+AB9+AH9+AN9</f>
        <v>#VALUE!</v>
      </c>
      <c r="AV9" s="279">
        <f>+B9+K9+Q9+W9+AC9+AI9+AP9</f>
        <v>85500</v>
      </c>
      <c r="AW9" s="279">
        <f>+C9+L9+R9+X9+AD9+AJ9+AQ9</f>
        <v>60845819.96</v>
      </c>
      <c r="AX9" s="279">
        <f>SUM(AV9:AW9)</f>
        <v>60931319.96</v>
      </c>
    </row>
    <row r="10" spans="1:60" s="17" customFormat="1" ht="18.75">
      <c r="A10" s="43" t="s">
        <v>487</v>
      </c>
      <c r="B10" s="253"/>
      <c r="C10" s="254"/>
      <c r="D10" s="253">
        <f>+'หมายเหตุ 31,32,33'!F19</f>
        <v>27402346.599999998</v>
      </c>
      <c r="E10" s="253">
        <f>+'หมายเหตุ 31,32,33'!H19</f>
        <v>0</v>
      </c>
      <c r="F10" s="247">
        <f>+B10+C10</f>
        <v>0</v>
      </c>
      <c r="G10" s="106"/>
      <c r="H10" s="144"/>
      <c r="I10" s="235"/>
      <c r="J10" s="235"/>
      <c r="K10" s="235"/>
      <c r="L10" s="235">
        <v>59678139.22</v>
      </c>
      <c r="M10" s="234">
        <f>SUM(K10:L10)</f>
        <v>59678139.22</v>
      </c>
      <c r="N10" s="91"/>
      <c r="O10" s="217"/>
      <c r="P10" s="217"/>
      <c r="Q10" s="217"/>
      <c r="R10" s="217">
        <v>430265.83</v>
      </c>
      <c r="S10" s="217">
        <f>SUM(Q10:R10)</f>
        <v>430265.83</v>
      </c>
      <c r="T10" s="91"/>
      <c r="U10" s="200"/>
      <c r="V10" s="200"/>
      <c r="W10" s="200"/>
      <c r="X10" s="200">
        <v>28037588.72</v>
      </c>
      <c r="Y10" s="200">
        <f>SUM(W10:X10)</f>
        <v>28037588.72</v>
      </c>
      <c r="Z10" s="91"/>
      <c r="AA10" s="182"/>
      <c r="AB10" s="182"/>
      <c r="AC10" s="182"/>
      <c r="AD10" s="182">
        <f>42212968.94</f>
        <v>42212968.94</v>
      </c>
      <c r="AE10" s="182">
        <f>SUM(AC10:AD10)</f>
        <v>42212968.94</v>
      </c>
      <c r="AF10" s="106"/>
      <c r="AG10" s="164"/>
      <c r="AH10" s="164"/>
      <c r="AI10" s="164"/>
      <c r="AJ10" s="164">
        <v>51326402.48</v>
      </c>
      <c r="AK10" s="164">
        <f>SUM(AI10:AJ10)</f>
        <v>51326402.48</v>
      </c>
      <c r="AL10" s="91"/>
      <c r="AM10" s="298">
        <v>0</v>
      </c>
      <c r="AN10" s="299">
        <v>27402346.6</v>
      </c>
      <c r="AO10" s="107">
        <f>SUM(AM10:AN10)</f>
        <v>27402346.6</v>
      </c>
      <c r="AP10" s="298">
        <v>0</v>
      </c>
      <c r="AQ10" s="298">
        <v>25017824.619999997</v>
      </c>
      <c r="AR10" s="298">
        <f>SUM(AP10:AQ10)</f>
        <v>25017824.619999997</v>
      </c>
      <c r="AS10" s="91"/>
      <c r="AT10" s="279">
        <f>+'หมายเหตุ 31,32,33'!B19</f>
        <v>0</v>
      </c>
      <c r="AU10" s="279">
        <f>+'หมายเหตุ 31,32,33'!C19</f>
        <v>0</v>
      </c>
      <c r="AV10" s="279">
        <f>+'หมายเหตุ 31,32,33'!D19</f>
        <v>0</v>
      </c>
      <c r="AW10" s="279">
        <f>+'หมายเหตุ 31,32,33'!E19</f>
        <v>50887747.57</v>
      </c>
      <c r="AX10" s="280">
        <f>SUM(AV10:AW10)</f>
        <v>50887747.57</v>
      </c>
      <c r="AY10" s="50"/>
      <c r="AZ10" s="144"/>
      <c r="BA10" s="91"/>
      <c r="BB10" s="91"/>
      <c r="BC10" s="91"/>
      <c r="BD10" s="91"/>
      <c r="BE10" s="91"/>
      <c r="BF10" s="91"/>
      <c r="BG10" s="91"/>
      <c r="BH10" s="91"/>
    </row>
    <row r="11" spans="1:60" s="17" customFormat="1" ht="19.5" thickBot="1">
      <c r="A11" s="17" t="s">
        <v>105</v>
      </c>
      <c r="B11" s="255">
        <f>SUM(B7:B10)</f>
        <v>0</v>
      </c>
      <c r="C11" s="256">
        <f>SUM(C7:C10)</f>
        <v>0</v>
      </c>
      <c r="D11" s="255">
        <f>SUM(D7:D10)</f>
        <v>30636507.79</v>
      </c>
      <c r="E11" s="255">
        <f>SUM(E7:E10)</f>
        <v>236641255.24</v>
      </c>
      <c r="F11" s="257">
        <f>SUM(F7:F10)</f>
        <v>0</v>
      </c>
      <c r="G11" s="106"/>
      <c r="H11" s="144"/>
      <c r="I11" s="236">
        <f>SUM(I7:I10)</f>
        <v>0</v>
      </c>
      <c r="J11" s="236">
        <f>SUM(J7:J10)</f>
        <v>0</v>
      </c>
      <c r="K11" s="236">
        <f>SUM(K7:K10)</f>
        <v>70590</v>
      </c>
      <c r="L11" s="236">
        <f>SUM(L7:L10)</f>
        <v>83877090.57</v>
      </c>
      <c r="M11" s="236">
        <f>SUM(K11:L11)</f>
        <v>83947680.57</v>
      </c>
      <c r="N11" s="91"/>
      <c r="O11" s="218">
        <f>SUM(O7:O10)</f>
        <v>0</v>
      </c>
      <c r="P11" s="218">
        <f>SUM(P7:P10)</f>
        <v>0</v>
      </c>
      <c r="Q11" s="218">
        <f>SUM(Q7:Q10)</f>
        <v>1263871</v>
      </c>
      <c r="R11" s="218">
        <f>SUM(R7:R10)</f>
        <v>5915004.13</v>
      </c>
      <c r="S11" s="218">
        <f>SUM(S7:S10)</f>
        <v>7178875.13</v>
      </c>
      <c r="T11" s="91"/>
      <c r="U11" s="201">
        <f>SUM(U7:U10)</f>
        <v>0</v>
      </c>
      <c r="V11" s="201">
        <f>SUM(V7:V10)</f>
        <v>0</v>
      </c>
      <c r="W11" s="201">
        <f>SUM(W7:W10)</f>
        <v>1583338.22</v>
      </c>
      <c r="X11" s="201">
        <f>SUM(X7:X10)</f>
        <v>49516258.92</v>
      </c>
      <c r="Y11" s="201">
        <f>SUM(Y7:Y10)</f>
        <v>51099597.14</v>
      </c>
      <c r="Z11" s="91"/>
      <c r="AA11" s="183">
        <f>SUM(AA7:AA10)</f>
        <v>0</v>
      </c>
      <c r="AB11" s="183">
        <f>SUM(AB7:AB10)</f>
        <v>0</v>
      </c>
      <c r="AC11" s="183">
        <f>SUM(AC7:AC10)</f>
        <v>2572969.11</v>
      </c>
      <c r="AD11" s="183">
        <f>SUM(AD7:AD10)</f>
        <v>66840625.8</v>
      </c>
      <c r="AE11" s="183">
        <f>SUM(AE7:AE10)</f>
        <v>69413594.91</v>
      </c>
      <c r="AF11" s="106"/>
      <c r="AG11" s="165">
        <f>SUM(AG7:AG10)</f>
        <v>0</v>
      </c>
      <c r="AH11" s="165">
        <f>SUM(AH7:AH10)</f>
        <v>0</v>
      </c>
      <c r="AI11" s="165">
        <f>SUM(AI7:AI10)</f>
        <v>3309791</v>
      </c>
      <c r="AJ11" s="165">
        <f>SUM(AJ7:AJ10)</f>
        <v>118498344.29999998</v>
      </c>
      <c r="AK11" s="165">
        <f>SUM(AK7:AK10)</f>
        <v>121808135.29999998</v>
      </c>
      <c r="AL11" s="91"/>
      <c r="AM11" s="300">
        <f>SUM(AM7:AM10)</f>
        <v>159102.86999999988</v>
      </c>
      <c r="AN11" s="300">
        <f>SUM(AN7:AN10)</f>
        <v>35616578.150000006</v>
      </c>
      <c r="AO11" s="300">
        <f>SUM(AM11:AN11)</f>
        <v>35775681.02</v>
      </c>
      <c r="AP11" s="300">
        <f>SUM(AP7:AP10)</f>
        <v>375052.87</v>
      </c>
      <c r="AQ11" s="300">
        <f>SUM(AQ7:AQ10)</f>
        <v>31123705.419999998</v>
      </c>
      <c r="AR11" s="300">
        <f>SUM(AR7:AR10)</f>
        <v>31498758.29</v>
      </c>
      <c r="AS11" s="91"/>
      <c r="AT11" s="281" t="e">
        <f>SUM(AT7:AT10)</f>
        <v>#REF!</v>
      </c>
      <c r="AU11" s="281" t="e">
        <f>SUM(AU7:AU10)</f>
        <v>#VALUE!</v>
      </c>
      <c r="AV11" s="281" t="e">
        <f>SUM(AV7:AV10)</f>
        <v>#REF!</v>
      </c>
      <c r="AW11" s="281" t="e">
        <f>SUM(AW7:AW10)</f>
        <v>#REF!</v>
      </c>
      <c r="AX11" s="281" t="e">
        <f>SUM(AX7:AX10)</f>
        <v>#REF!</v>
      </c>
      <c r="AY11" s="91"/>
      <c r="AZ11" s="144"/>
      <c r="BA11" s="91"/>
      <c r="BB11" s="91"/>
      <c r="BC11" s="91"/>
      <c r="BD11" s="91"/>
      <c r="BE11" s="91"/>
      <c r="BF11" s="91"/>
      <c r="BG11" s="91"/>
      <c r="BH11" s="91"/>
    </row>
    <row r="12" spans="2:60" s="17" customFormat="1" ht="19.5" thickTop="1">
      <c r="B12" s="247"/>
      <c r="C12" s="247"/>
      <c r="D12" s="247"/>
      <c r="E12" s="247"/>
      <c r="F12" s="247"/>
      <c r="G12" s="106"/>
      <c r="H12" s="144"/>
      <c r="I12" s="231"/>
      <c r="J12" s="231"/>
      <c r="K12" s="231"/>
      <c r="L12" s="231"/>
      <c r="M12" s="231"/>
      <c r="N12" s="91"/>
      <c r="O12" s="214"/>
      <c r="P12" s="214"/>
      <c r="Q12" s="214"/>
      <c r="R12" s="214"/>
      <c r="S12" s="214"/>
      <c r="T12" s="91"/>
      <c r="U12" s="197"/>
      <c r="V12" s="197"/>
      <c r="W12" s="197"/>
      <c r="X12" s="197"/>
      <c r="Y12" s="197"/>
      <c r="Z12" s="91"/>
      <c r="AA12" s="179"/>
      <c r="AB12" s="179"/>
      <c r="AC12" s="179"/>
      <c r="AD12" s="179"/>
      <c r="AE12" s="179"/>
      <c r="AF12" s="106"/>
      <c r="AG12" s="161"/>
      <c r="AH12" s="161"/>
      <c r="AI12" s="161"/>
      <c r="AJ12" s="161"/>
      <c r="AK12" s="161"/>
      <c r="AL12" s="91"/>
      <c r="AM12" s="106"/>
      <c r="AN12" s="106"/>
      <c r="AO12" s="106"/>
      <c r="AP12" s="106"/>
      <c r="AQ12" s="106"/>
      <c r="AR12" s="106"/>
      <c r="AS12" s="91"/>
      <c r="AT12" s="277"/>
      <c r="AU12" s="277"/>
      <c r="AV12" s="277"/>
      <c r="AW12" s="277"/>
      <c r="AX12" s="277"/>
      <c r="AY12" s="91"/>
      <c r="AZ12" s="144"/>
      <c r="BA12" s="91"/>
      <c r="BB12" s="91"/>
      <c r="BC12" s="91"/>
      <c r="BD12" s="91"/>
      <c r="BE12" s="91"/>
      <c r="BF12" s="91"/>
      <c r="BG12" s="91"/>
      <c r="BH12" s="91"/>
    </row>
    <row r="13" spans="1:50" ht="18.75">
      <c r="A13" s="51" t="s">
        <v>217</v>
      </c>
      <c r="B13" s="248" t="s">
        <v>56</v>
      </c>
      <c r="C13" s="249" t="s">
        <v>57</v>
      </c>
      <c r="D13" s="248" t="s">
        <v>56</v>
      </c>
      <c r="E13" s="248" t="s">
        <v>57</v>
      </c>
      <c r="F13" s="250"/>
      <c r="G13" s="97"/>
      <c r="I13" s="232" t="s">
        <v>56</v>
      </c>
      <c r="J13" s="232" t="s">
        <v>57</v>
      </c>
      <c r="K13" s="232" t="s">
        <v>56</v>
      </c>
      <c r="L13" s="232" t="s">
        <v>57</v>
      </c>
      <c r="M13" s="232" t="s">
        <v>101</v>
      </c>
      <c r="O13" s="215" t="s">
        <v>56</v>
      </c>
      <c r="P13" s="215" t="s">
        <v>57</v>
      </c>
      <c r="Q13" s="215" t="s">
        <v>56</v>
      </c>
      <c r="R13" s="215" t="s">
        <v>57</v>
      </c>
      <c r="S13" s="215" t="s">
        <v>101</v>
      </c>
      <c r="U13" s="198" t="s">
        <v>56</v>
      </c>
      <c r="V13" s="198" t="s">
        <v>57</v>
      </c>
      <c r="W13" s="198" t="s">
        <v>56</v>
      </c>
      <c r="X13" s="198" t="s">
        <v>57</v>
      </c>
      <c r="Y13" s="198" t="s">
        <v>101</v>
      </c>
      <c r="AA13" s="180" t="s">
        <v>56</v>
      </c>
      <c r="AB13" s="180" t="s">
        <v>57</v>
      </c>
      <c r="AC13" s="180" t="s">
        <v>56</v>
      </c>
      <c r="AD13" s="180" t="s">
        <v>57</v>
      </c>
      <c r="AE13" s="180" t="s">
        <v>101</v>
      </c>
      <c r="AF13" s="97"/>
      <c r="AG13" s="162" t="s">
        <v>56</v>
      </c>
      <c r="AH13" s="162" t="s">
        <v>57</v>
      </c>
      <c r="AI13" s="162" t="s">
        <v>56</v>
      </c>
      <c r="AJ13" s="162" t="s">
        <v>57</v>
      </c>
      <c r="AK13" s="162" t="s">
        <v>101</v>
      </c>
      <c r="AM13" s="18" t="s">
        <v>56</v>
      </c>
      <c r="AN13" s="18" t="s">
        <v>57</v>
      </c>
      <c r="AO13" s="18" t="s">
        <v>101</v>
      </c>
      <c r="AP13" s="18" t="s">
        <v>56</v>
      </c>
      <c r="AQ13" s="18" t="s">
        <v>57</v>
      </c>
      <c r="AR13" s="18" t="s">
        <v>101</v>
      </c>
      <c r="AT13" s="278" t="s">
        <v>56</v>
      </c>
      <c r="AU13" s="278" t="s">
        <v>57</v>
      </c>
      <c r="AV13" s="278" t="s">
        <v>56</v>
      </c>
      <c r="AW13" s="278" t="s">
        <v>57</v>
      </c>
      <c r="AX13" s="278" t="s">
        <v>101</v>
      </c>
    </row>
    <row r="14" spans="1:54" ht="18.75">
      <c r="A14" s="43" t="s">
        <v>369</v>
      </c>
      <c r="B14" s="251"/>
      <c r="C14" s="252"/>
      <c r="D14" s="251"/>
      <c r="E14" s="251">
        <v>174727.52</v>
      </c>
      <c r="F14" s="247">
        <f>SUM(B14:C14)</f>
        <v>0</v>
      </c>
      <c r="I14" s="233"/>
      <c r="J14" s="233"/>
      <c r="K14" s="233"/>
      <c r="L14" s="233"/>
      <c r="M14" s="233">
        <f>SUM(K14:L14)</f>
        <v>0</v>
      </c>
      <c r="O14" s="216"/>
      <c r="P14" s="216"/>
      <c r="Q14" s="216"/>
      <c r="R14" s="216"/>
      <c r="S14" s="216">
        <f>SUM(Q14:R14)</f>
        <v>0</v>
      </c>
      <c r="U14" s="199"/>
      <c r="V14" s="199"/>
      <c r="W14" s="199"/>
      <c r="X14" s="199"/>
      <c r="Y14" s="199">
        <f>SUM(W14:X14)</f>
        <v>0</v>
      </c>
      <c r="AA14" s="181"/>
      <c r="AB14" s="181"/>
      <c r="AC14" s="181"/>
      <c r="AD14" s="181">
        <v>0</v>
      </c>
      <c r="AE14" s="181">
        <f>SUM(AC14:AD14)</f>
        <v>0</v>
      </c>
      <c r="AG14" s="163"/>
      <c r="AH14" s="163"/>
      <c r="AI14" s="163"/>
      <c r="AJ14" s="163">
        <v>766406.42</v>
      </c>
      <c r="AK14" s="163">
        <f>SUM(AI14:AJ14)</f>
        <v>766406.42</v>
      </c>
      <c r="AM14" s="107">
        <v>0</v>
      </c>
      <c r="AN14" s="107">
        <v>0</v>
      </c>
      <c r="AO14" s="107">
        <f>SUM(AM14:AN14)</f>
        <v>0</v>
      </c>
      <c r="AP14" s="107">
        <v>0</v>
      </c>
      <c r="AQ14" s="107">
        <v>0</v>
      </c>
      <c r="AR14" s="107">
        <f>SUM(AP14:AQ14)</f>
        <v>0</v>
      </c>
      <c r="AT14" s="279" t="e">
        <f>+#REF!+I14+O14+U14+AA14+AG14+AM14</f>
        <v>#REF!</v>
      </c>
      <c r="AU14" s="279" t="e">
        <f>+A14+J14+P14+V14+AB14+AH14+AN14</f>
        <v>#VALUE!</v>
      </c>
      <c r="AV14" s="279">
        <f aca="true" t="shared" si="0" ref="AV14:AW16">+B14+K14+Q14+W14+AC14+AI14+AP14</f>
        <v>0</v>
      </c>
      <c r="AW14" s="279">
        <f t="shared" si="0"/>
        <v>766406.42</v>
      </c>
      <c r="AX14" s="279">
        <f>SUM(AV14:AW14)</f>
        <v>766406.42</v>
      </c>
      <c r="AY14" s="50">
        <v>2252500</v>
      </c>
      <c r="AZ14" s="137" t="s">
        <v>405</v>
      </c>
      <c r="BA14" s="50">
        <v>174727.52</v>
      </c>
      <c r="BB14" s="50" t="s">
        <v>407</v>
      </c>
    </row>
    <row r="15" spans="1:50" ht="18.75">
      <c r="A15" s="43" t="s">
        <v>368</v>
      </c>
      <c r="B15" s="251"/>
      <c r="C15" s="252"/>
      <c r="D15" s="251">
        <v>0</v>
      </c>
      <c r="E15" s="251">
        <v>0</v>
      </c>
      <c r="F15" s="247">
        <f>SUM(B15:C15)</f>
        <v>0</v>
      </c>
      <c r="I15" s="233"/>
      <c r="J15" s="233"/>
      <c r="K15" s="233"/>
      <c r="L15" s="233"/>
      <c r="M15" s="233">
        <f>SUM(K15:L15)</f>
        <v>0</v>
      </c>
      <c r="O15" s="216"/>
      <c r="P15" s="216"/>
      <c r="Q15" s="216"/>
      <c r="R15" s="216"/>
      <c r="S15" s="216">
        <f>SUM(Q15:R15)</f>
        <v>0</v>
      </c>
      <c r="U15" s="199"/>
      <c r="V15" s="199"/>
      <c r="W15" s="199"/>
      <c r="X15" s="199"/>
      <c r="Y15" s="199">
        <f>SUM(W15:X15)</f>
        <v>0</v>
      </c>
      <c r="AA15" s="181"/>
      <c r="AB15" s="181"/>
      <c r="AC15" s="181"/>
      <c r="AD15" s="181">
        <v>2135100</v>
      </c>
      <c r="AE15" s="181">
        <f>SUM(AC15:AD15)</f>
        <v>2135100</v>
      </c>
      <c r="AG15" s="163"/>
      <c r="AH15" s="163"/>
      <c r="AI15" s="163"/>
      <c r="AJ15" s="163">
        <v>0</v>
      </c>
      <c r="AK15" s="163">
        <f>SUM(AI15:AJ15)</f>
        <v>0</v>
      </c>
      <c r="AM15" s="107">
        <v>0</v>
      </c>
      <c r="AN15" s="107">
        <v>0</v>
      </c>
      <c r="AO15" s="107">
        <f>SUM(AM15:AN15)</f>
        <v>0</v>
      </c>
      <c r="AP15" s="107">
        <v>0</v>
      </c>
      <c r="AQ15" s="107">
        <v>0</v>
      </c>
      <c r="AR15" s="107">
        <f>SUM(AP15:AQ15)</f>
        <v>0</v>
      </c>
      <c r="AT15" s="279" t="e">
        <f>+#REF!+I15+O15+U15+AA15+AG15+AM15</f>
        <v>#REF!</v>
      </c>
      <c r="AU15" s="279" t="e">
        <f>+A15+J15+P15+V15+AB15+AH15+AN15</f>
        <v>#VALUE!</v>
      </c>
      <c r="AV15" s="279">
        <f t="shared" si="0"/>
        <v>0</v>
      </c>
      <c r="AW15" s="279">
        <f t="shared" si="0"/>
        <v>2135100</v>
      </c>
      <c r="AX15" s="279">
        <f>SUM(AV15:AW15)</f>
        <v>2135100</v>
      </c>
    </row>
    <row r="16" spans="1:53" ht="18.75">
      <c r="A16" s="43" t="s">
        <v>257</v>
      </c>
      <c r="B16" s="258"/>
      <c r="C16" s="259"/>
      <c r="D16" s="258">
        <f>59999031.41-9160429.73</f>
        <v>50838601.67999999</v>
      </c>
      <c r="E16" s="258">
        <v>12679570.39</v>
      </c>
      <c r="F16" s="247">
        <f>SUM(B16:C16)</f>
        <v>0</v>
      </c>
      <c r="I16" s="237"/>
      <c r="J16" s="237"/>
      <c r="K16" s="237"/>
      <c r="L16" s="237"/>
      <c r="M16" s="233">
        <f>SUM(K16:L16)</f>
        <v>0</v>
      </c>
      <c r="O16" s="219"/>
      <c r="P16" s="219"/>
      <c r="Q16" s="219"/>
      <c r="R16" s="219"/>
      <c r="S16" s="216">
        <f>SUM(Q16:R16)</f>
        <v>0</v>
      </c>
      <c r="U16" s="202"/>
      <c r="V16" s="202"/>
      <c r="W16" s="202"/>
      <c r="X16" s="202"/>
      <c r="Y16" s="199">
        <f>SUM(W16:X16)</f>
        <v>0</v>
      </c>
      <c r="AA16" s="184"/>
      <c r="AB16" s="184"/>
      <c r="AC16" s="184">
        <v>2260</v>
      </c>
      <c r="AD16" s="184">
        <v>119690</v>
      </c>
      <c r="AE16" s="181">
        <f>SUM(AC16:AD16)</f>
        <v>121950</v>
      </c>
      <c r="AG16" s="166"/>
      <c r="AH16" s="166"/>
      <c r="AI16" s="166">
        <v>2457018.6</v>
      </c>
      <c r="AJ16" s="166">
        <v>0</v>
      </c>
      <c r="AK16" s="163">
        <f>SUM(AI16:AJ16)</f>
        <v>2457018.6</v>
      </c>
      <c r="AM16" s="299">
        <v>1480</v>
      </c>
      <c r="AN16" s="299">
        <v>0</v>
      </c>
      <c r="AO16" s="107">
        <f>SUM(AM16:AN16)</f>
        <v>1480</v>
      </c>
      <c r="AP16" s="299">
        <v>25770</v>
      </c>
      <c r="AQ16" s="299">
        <v>0</v>
      </c>
      <c r="AR16" s="107">
        <f>SUM(AP16:AQ16)</f>
        <v>25770</v>
      </c>
      <c r="AT16" s="279" t="e">
        <f>+#REF!+I16+O16+U16+AA16+AG16+AM16</f>
        <v>#REF!</v>
      </c>
      <c r="AU16" s="279" t="e">
        <f>+A16+J16+P16+V16+AB16+AH16+AN16</f>
        <v>#VALUE!</v>
      </c>
      <c r="AV16" s="279">
        <f t="shared" si="0"/>
        <v>2485048.6</v>
      </c>
      <c r="AW16" s="279">
        <f t="shared" si="0"/>
        <v>119690</v>
      </c>
      <c r="AX16" s="279">
        <f>SUM(AV16:AW16)</f>
        <v>2604738.6</v>
      </c>
      <c r="AY16" s="50">
        <v>72329536.63</v>
      </c>
      <c r="AZ16" s="137">
        <f>+AX16-AY16</f>
        <v>-69724798.03</v>
      </c>
      <c r="BA16" s="50">
        <v>63518172.07</v>
      </c>
    </row>
    <row r="17" spans="1:60" s="17" customFormat="1" ht="19.5" thickBot="1">
      <c r="A17" s="17" t="s">
        <v>106</v>
      </c>
      <c r="B17" s="255">
        <f>SUM(B14:B16)</f>
        <v>0</v>
      </c>
      <c r="C17" s="256">
        <f>SUM(C14:C16)</f>
        <v>0</v>
      </c>
      <c r="D17" s="255">
        <f>SUM(D14:D16)</f>
        <v>50838601.67999999</v>
      </c>
      <c r="E17" s="255">
        <f>SUM(E14:E16)</f>
        <v>12854297.91</v>
      </c>
      <c r="F17" s="257">
        <f>SUM(F14:F16)</f>
        <v>0</v>
      </c>
      <c r="G17" s="106"/>
      <c r="H17" s="144"/>
      <c r="I17" s="236">
        <f>SUM(I14:I16)</f>
        <v>0</v>
      </c>
      <c r="J17" s="236">
        <f>SUM(J14:J16)</f>
        <v>0</v>
      </c>
      <c r="K17" s="236">
        <f>SUM(K14:K16)</f>
        <v>0</v>
      </c>
      <c r="L17" s="236">
        <f>SUM(L14:L16)</f>
        <v>0</v>
      </c>
      <c r="M17" s="236">
        <f>SUM(M14:M16)</f>
        <v>0</v>
      </c>
      <c r="N17" s="91"/>
      <c r="O17" s="218">
        <f>SUM(O14:O16)</f>
        <v>0</v>
      </c>
      <c r="P17" s="218">
        <f>SUM(P14:P16)</f>
        <v>0</v>
      </c>
      <c r="Q17" s="218">
        <f>SUM(Q14:Q16)</f>
        <v>0</v>
      </c>
      <c r="R17" s="218">
        <f>SUM(R14:R16)</f>
        <v>0</v>
      </c>
      <c r="S17" s="218">
        <f>SUM(S14:S16)</f>
        <v>0</v>
      </c>
      <c r="T17" s="91"/>
      <c r="U17" s="201">
        <f>SUM(U14:U16)</f>
        <v>0</v>
      </c>
      <c r="V17" s="201">
        <f>SUM(V14:V16)</f>
        <v>0</v>
      </c>
      <c r="W17" s="201">
        <f>SUM(W14:W16)</f>
        <v>0</v>
      </c>
      <c r="X17" s="201">
        <f>SUM(X14:X16)</f>
        <v>0</v>
      </c>
      <c r="Y17" s="201">
        <f>SUM(Y14:Y16)</f>
        <v>0</v>
      </c>
      <c r="Z17" s="91"/>
      <c r="AA17" s="183">
        <f>SUM(AA14:AA16)</f>
        <v>0</v>
      </c>
      <c r="AB17" s="183">
        <f>SUM(AB14:AB16)</f>
        <v>0</v>
      </c>
      <c r="AC17" s="183">
        <f>SUM(AC14:AC16)</f>
        <v>2260</v>
      </c>
      <c r="AD17" s="183">
        <f>SUM(AD14:AD16)</f>
        <v>2254790</v>
      </c>
      <c r="AE17" s="183">
        <f>SUM(AE14:AE16)</f>
        <v>2257050</v>
      </c>
      <c r="AF17" s="106"/>
      <c r="AG17" s="165">
        <f>SUM(AG14:AG16)</f>
        <v>0</v>
      </c>
      <c r="AH17" s="165">
        <f>SUM(AH14:AH16)</f>
        <v>0</v>
      </c>
      <c r="AI17" s="165">
        <f>SUM(AI14:AI16)</f>
        <v>2457018.6</v>
      </c>
      <c r="AJ17" s="165">
        <f>SUM(AJ14:AJ16)</f>
        <v>766406.42</v>
      </c>
      <c r="AK17" s="165">
        <f>SUM(AK14:AK16)</f>
        <v>3223425.02</v>
      </c>
      <c r="AL17" s="91"/>
      <c r="AM17" s="300">
        <f aca="true" t="shared" si="1" ref="AM17:AR17">SUM(AM14:AM16)</f>
        <v>1480</v>
      </c>
      <c r="AN17" s="300">
        <f t="shared" si="1"/>
        <v>0</v>
      </c>
      <c r="AO17" s="300">
        <f t="shared" si="1"/>
        <v>1480</v>
      </c>
      <c r="AP17" s="300">
        <f t="shared" si="1"/>
        <v>25770</v>
      </c>
      <c r="AQ17" s="300">
        <f t="shared" si="1"/>
        <v>0</v>
      </c>
      <c r="AR17" s="300">
        <f t="shared" si="1"/>
        <v>25770</v>
      </c>
      <c r="AS17" s="91"/>
      <c r="AT17" s="281" t="e">
        <f>SUM(AT14:AT16)</f>
        <v>#REF!</v>
      </c>
      <c r="AU17" s="281" t="e">
        <f>SUM(AU14:AU16)</f>
        <v>#VALUE!</v>
      </c>
      <c r="AV17" s="281">
        <f>SUM(AV14:AV16)</f>
        <v>2485048.6</v>
      </c>
      <c r="AW17" s="281">
        <f>SUM(AW14:AW16)</f>
        <v>3021196.42</v>
      </c>
      <c r="AX17" s="281">
        <f>SUM(AX14:AX16)</f>
        <v>5506245.02</v>
      </c>
      <c r="AY17" s="91"/>
      <c r="AZ17" s="144"/>
      <c r="BA17" s="91"/>
      <c r="BB17" s="91"/>
      <c r="BC17" s="91"/>
      <c r="BD17" s="91"/>
      <c r="BE17" s="91"/>
      <c r="BF17" s="91"/>
      <c r="BG17" s="91"/>
      <c r="BH17" s="91"/>
    </row>
    <row r="18" spans="2:60" s="17" customFormat="1" ht="19.5" thickTop="1">
      <c r="B18" s="247"/>
      <c r="C18" s="247"/>
      <c r="D18" s="247"/>
      <c r="E18" s="247"/>
      <c r="F18" s="247"/>
      <c r="G18" s="106"/>
      <c r="H18" s="144"/>
      <c r="I18" s="231"/>
      <c r="J18" s="231"/>
      <c r="K18" s="231"/>
      <c r="L18" s="231"/>
      <c r="M18" s="231"/>
      <c r="N18" s="91"/>
      <c r="O18" s="214"/>
      <c r="P18" s="214"/>
      <c r="Q18" s="214"/>
      <c r="R18" s="214"/>
      <c r="S18" s="214"/>
      <c r="T18" s="91"/>
      <c r="U18" s="197"/>
      <c r="V18" s="197"/>
      <c r="W18" s="197"/>
      <c r="X18" s="197"/>
      <c r="Y18" s="197"/>
      <c r="Z18" s="91"/>
      <c r="AA18" s="179"/>
      <c r="AB18" s="179"/>
      <c r="AC18" s="179"/>
      <c r="AD18" s="179"/>
      <c r="AE18" s="179"/>
      <c r="AF18" s="106"/>
      <c r="AG18" s="161"/>
      <c r="AH18" s="161"/>
      <c r="AI18" s="161"/>
      <c r="AJ18" s="161"/>
      <c r="AK18" s="161"/>
      <c r="AL18" s="91"/>
      <c r="AM18" s="106"/>
      <c r="AN18" s="106"/>
      <c r="AO18" s="106"/>
      <c r="AP18" s="106"/>
      <c r="AQ18" s="106"/>
      <c r="AR18" s="106"/>
      <c r="AS18" s="91"/>
      <c r="AT18" s="277"/>
      <c r="AU18" s="277"/>
      <c r="AV18" s="277"/>
      <c r="AW18" s="277"/>
      <c r="AX18" s="277"/>
      <c r="AY18" s="91"/>
      <c r="AZ18" s="144"/>
      <c r="BA18" s="91"/>
      <c r="BB18" s="91"/>
      <c r="BC18" s="91"/>
      <c r="BD18" s="91"/>
      <c r="BE18" s="91"/>
      <c r="BF18" s="91"/>
      <c r="BG18" s="91"/>
      <c r="BH18" s="91"/>
    </row>
    <row r="19" spans="1:50" ht="18.75">
      <c r="A19" s="51" t="s">
        <v>302</v>
      </c>
      <c r="B19" s="248" t="s">
        <v>56</v>
      </c>
      <c r="C19" s="249" t="s">
        <v>57</v>
      </c>
      <c r="D19" s="248" t="s">
        <v>56</v>
      </c>
      <c r="E19" s="248" t="s">
        <v>57</v>
      </c>
      <c r="F19" s="250"/>
      <c r="G19" s="97"/>
      <c r="I19" s="232" t="s">
        <v>56</v>
      </c>
      <c r="J19" s="232" t="s">
        <v>57</v>
      </c>
      <c r="K19" s="232" t="s">
        <v>56</v>
      </c>
      <c r="L19" s="232" t="s">
        <v>57</v>
      </c>
      <c r="M19" s="232" t="s">
        <v>101</v>
      </c>
      <c r="O19" s="215" t="s">
        <v>56</v>
      </c>
      <c r="P19" s="215" t="s">
        <v>57</v>
      </c>
      <c r="Q19" s="215" t="s">
        <v>56</v>
      </c>
      <c r="R19" s="215" t="s">
        <v>57</v>
      </c>
      <c r="S19" s="215" t="s">
        <v>101</v>
      </c>
      <c r="U19" s="198" t="s">
        <v>56</v>
      </c>
      <c r="V19" s="198" t="s">
        <v>57</v>
      </c>
      <c r="W19" s="198" t="s">
        <v>56</v>
      </c>
      <c r="X19" s="198" t="s">
        <v>57</v>
      </c>
      <c r="Y19" s="198" t="s">
        <v>101</v>
      </c>
      <c r="AA19" s="180" t="s">
        <v>56</v>
      </c>
      <c r="AB19" s="180" t="s">
        <v>57</v>
      </c>
      <c r="AC19" s="180" t="s">
        <v>56</v>
      </c>
      <c r="AD19" s="180" t="s">
        <v>57</v>
      </c>
      <c r="AE19" s="180" t="s">
        <v>101</v>
      </c>
      <c r="AF19" s="97"/>
      <c r="AG19" s="162" t="s">
        <v>56</v>
      </c>
      <c r="AH19" s="162" t="s">
        <v>57</v>
      </c>
      <c r="AI19" s="162" t="s">
        <v>56</v>
      </c>
      <c r="AJ19" s="162" t="s">
        <v>57</v>
      </c>
      <c r="AK19" s="162" t="s">
        <v>101</v>
      </c>
      <c r="AM19" s="18" t="s">
        <v>56</v>
      </c>
      <c r="AN19" s="18" t="s">
        <v>57</v>
      </c>
      <c r="AO19" s="18" t="s">
        <v>101</v>
      </c>
      <c r="AP19" s="18" t="s">
        <v>56</v>
      </c>
      <c r="AQ19" s="18" t="s">
        <v>57</v>
      </c>
      <c r="AR19" s="18" t="s">
        <v>101</v>
      </c>
      <c r="AT19" s="278" t="s">
        <v>56</v>
      </c>
      <c r="AU19" s="278" t="s">
        <v>57</v>
      </c>
      <c r="AV19" s="278" t="s">
        <v>56</v>
      </c>
      <c r="AW19" s="278" t="s">
        <v>57</v>
      </c>
      <c r="AX19" s="278" t="s">
        <v>101</v>
      </c>
    </row>
    <row r="20" spans="1:50" ht="18.75">
      <c r="A20" s="43" t="s">
        <v>367</v>
      </c>
      <c r="B20" s="251">
        <v>0</v>
      </c>
      <c r="C20" s="252">
        <v>0</v>
      </c>
      <c r="D20" s="251">
        <v>0</v>
      </c>
      <c r="E20" s="251">
        <v>0</v>
      </c>
      <c r="F20" s="247">
        <f>SUM(B20:C20)</f>
        <v>0</v>
      </c>
      <c r="I20" s="233"/>
      <c r="J20" s="233"/>
      <c r="K20" s="233"/>
      <c r="L20" s="233"/>
      <c r="M20" s="233"/>
      <c r="O20" s="216"/>
      <c r="P20" s="216"/>
      <c r="Q20" s="216"/>
      <c r="R20" s="216"/>
      <c r="S20" s="216"/>
      <c r="U20" s="199"/>
      <c r="V20" s="199"/>
      <c r="W20" s="199"/>
      <c r="X20" s="199"/>
      <c r="Y20" s="199"/>
      <c r="AA20" s="181"/>
      <c r="AB20" s="181"/>
      <c r="AC20" s="181"/>
      <c r="AD20" s="181"/>
      <c r="AE20" s="181"/>
      <c r="AG20" s="163"/>
      <c r="AH20" s="163"/>
      <c r="AI20" s="163"/>
      <c r="AJ20" s="163"/>
      <c r="AK20" s="163"/>
      <c r="AM20" s="107">
        <v>0</v>
      </c>
      <c r="AN20" s="107">
        <v>0</v>
      </c>
      <c r="AO20" s="107">
        <f>SUM(AM20:AN20)</f>
        <v>0</v>
      </c>
      <c r="AP20" s="107">
        <v>0</v>
      </c>
      <c r="AQ20" s="107">
        <v>0</v>
      </c>
      <c r="AR20" s="107">
        <f>SUM(AP20:AQ20)</f>
        <v>0</v>
      </c>
      <c r="AT20" s="279" t="e">
        <f>+#REF!+I20+O20+U20+AA20+AG20+AM20</f>
        <v>#REF!</v>
      </c>
      <c r="AU20" s="279" t="e">
        <f>+A20+J20+P20+V20+AB20+AH20+AN20</f>
        <v>#VALUE!</v>
      </c>
      <c r="AV20" s="279">
        <f>+B20+K20+Q20+W20+AC20+AI20+AP20</f>
        <v>0</v>
      </c>
      <c r="AW20" s="279">
        <f>+C20+L20+R20+X20+AD20+AJ20+AQ20</f>
        <v>0</v>
      </c>
      <c r="AX20" s="279">
        <f>SUM(AV20:AW20)</f>
        <v>0</v>
      </c>
    </row>
    <row r="21" spans="1:50" ht="18.75">
      <c r="A21" s="61" t="s">
        <v>488</v>
      </c>
      <c r="B21" s="260"/>
      <c r="C21" s="261"/>
      <c r="D21" s="260">
        <f>+'หมายเหตุ 31,32,33'!F30</f>
        <v>0</v>
      </c>
      <c r="E21" s="260">
        <f>+'หมายเหตุ 31,32,33'!G30</f>
        <v>0</v>
      </c>
      <c r="F21" s="247">
        <f>SUM(B21:C21)</f>
        <v>0</v>
      </c>
      <c r="I21" s="238"/>
      <c r="J21" s="233"/>
      <c r="K21" s="238"/>
      <c r="L21" s="233"/>
      <c r="M21" s="233"/>
      <c r="O21" s="220"/>
      <c r="P21" s="216"/>
      <c r="Q21" s="220"/>
      <c r="R21" s="216"/>
      <c r="S21" s="216"/>
      <c r="U21" s="203"/>
      <c r="V21" s="199"/>
      <c r="W21" s="203"/>
      <c r="X21" s="199"/>
      <c r="Y21" s="199"/>
      <c r="AA21" s="185"/>
      <c r="AB21" s="181"/>
      <c r="AC21" s="185"/>
      <c r="AD21" s="181"/>
      <c r="AE21" s="181"/>
      <c r="AG21" s="167"/>
      <c r="AH21" s="163"/>
      <c r="AI21" s="167"/>
      <c r="AJ21" s="163"/>
      <c r="AK21" s="163"/>
      <c r="AM21" s="301">
        <v>0</v>
      </c>
      <c r="AN21" s="107">
        <v>0</v>
      </c>
      <c r="AO21" s="107">
        <f>SUM(AM21:AN21)</f>
        <v>0</v>
      </c>
      <c r="AP21" s="302">
        <v>0</v>
      </c>
      <c r="AQ21" s="107">
        <v>0</v>
      </c>
      <c r="AR21" s="107">
        <f>SUM(AP21:AQ21)</f>
        <v>0</v>
      </c>
      <c r="AT21" s="279">
        <f>+'หมายเหตุ 31,32,33'!B30</f>
        <v>0</v>
      </c>
      <c r="AU21" s="279">
        <f>+'หมายเหตุ 31,32,33'!C30</f>
        <v>0</v>
      </c>
      <c r="AV21" s="279">
        <f>+'หมายเหตุ 31,32,33'!D30</f>
        <v>0</v>
      </c>
      <c r="AW21" s="279">
        <f>+'หมายเหตุ 31,32,33'!E30</f>
        <v>0</v>
      </c>
      <c r="AX21" s="279">
        <f>SUM(AV21:AW21)</f>
        <v>0</v>
      </c>
    </row>
    <row r="22" spans="1:60" s="17" customFormat="1" ht="19.5" thickBot="1">
      <c r="A22" s="17" t="s">
        <v>258</v>
      </c>
      <c r="B22" s="255">
        <f>SUM(B20:B21)</f>
        <v>0</v>
      </c>
      <c r="C22" s="256">
        <f>SUM(C20:C21)</f>
        <v>0</v>
      </c>
      <c r="D22" s="255">
        <f>SUM(D20:D21)</f>
        <v>0</v>
      </c>
      <c r="E22" s="255">
        <f>SUM(E20:E21)</f>
        <v>0</v>
      </c>
      <c r="F22" s="257">
        <f>SUM(F20:F21)</f>
        <v>0</v>
      </c>
      <c r="G22" s="106"/>
      <c r="H22" s="144"/>
      <c r="I22" s="236">
        <f>SUM(I20:I21)</f>
        <v>0</v>
      </c>
      <c r="J22" s="236">
        <f>SUM(J20:J21)</f>
        <v>0</v>
      </c>
      <c r="K22" s="236">
        <f>SUM(K20:K21)</f>
        <v>0</v>
      </c>
      <c r="L22" s="236">
        <f>SUM(L20:L21)</f>
        <v>0</v>
      </c>
      <c r="M22" s="236">
        <f>SUM(M20:M21)</f>
        <v>0</v>
      </c>
      <c r="N22" s="91"/>
      <c r="O22" s="218">
        <f>SUM(O20:O21)</f>
        <v>0</v>
      </c>
      <c r="P22" s="218">
        <f>SUM(P20:P21)</f>
        <v>0</v>
      </c>
      <c r="Q22" s="218">
        <f>SUM(Q20:Q21)</f>
        <v>0</v>
      </c>
      <c r="R22" s="218">
        <f>SUM(R20:R21)</f>
        <v>0</v>
      </c>
      <c r="S22" s="218">
        <f>SUM(S20:S21)</f>
        <v>0</v>
      </c>
      <c r="T22" s="91"/>
      <c r="U22" s="201">
        <f>SUM(U20:U21)</f>
        <v>0</v>
      </c>
      <c r="V22" s="201">
        <f>SUM(V20:V21)</f>
        <v>0</v>
      </c>
      <c r="W22" s="201">
        <f>SUM(W20:W21)</f>
        <v>0</v>
      </c>
      <c r="X22" s="201">
        <f>SUM(X20:X21)</f>
        <v>0</v>
      </c>
      <c r="Y22" s="201">
        <f>SUM(Y20:Y21)</f>
        <v>0</v>
      </c>
      <c r="Z22" s="91"/>
      <c r="AA22" s="183">
        <f>SUM(AA20:AA21)</f>
        <v>0</v>
      </c>
      <c r="AB22" s="183">
        <f>SUM(AB20:AB21)</f>
        <v>0</v>
      </c>
      <c r="AC22" s="183">
        <f>SUM(AC20:AC21)</f>
        <v>0</v>
      </c>
      <c r="AD22" s="183">
        <f>SUM(AD20:AD21)</f>
        <v>0</v>
      </c>
      <c r="AE22" s="183">
        <f>SUM(AE20:AE21)</f>
        <v>0</v>
      </c>
      <c r="AF22" s="106"/>
      <c r="AG22" s="165">
        <f>SUM(AG20:AG21)</f>
        <v>0</v>
      </c>
      <c r="AH22" s="165">
        <f>SUM(AH20:AH21)</f>
        <v>0</v>
      </c>
      <c r="AI22" s="165">
        <f>SUM(AI20:AI21)</f>
        <v>0</v>
      </c>
      <c r="AJ22" s="165">
        <f>SUM(AJ20:AJ21)</f>
        <v>0</v>
      </c>
      <c r="AK22" s="165">
        <f>SUM(AK20:AK21)</f>
        <v>0</v>
      </c>
      <c r="AL22" s="91"/>
      <c r="AM22" s="300">
        <f>SUM(AM20:AM21)</f>
        <v>0</v>
      </c>
      <c r="AN22" s="300">
        <f>SUM(AN20:AN21)</f>
        <v>0</v>
      </c>
      <c r="AO22" s="300">
        <f>SUM(AM22:AN22)</f>
        <v>0</v>
      </c>
      <c r="AP22" s="300">
        <f>SUM(AP20:AP21)</f>
        <v>0</v>
      </c>
      <c r="AQ22" s="300">
        <f>SUM(AQ20:AQ21)</f>
        <v>0</v>
      </c>
      <c r="AR22" s="300">
        <f>SUM(AR20:AR21)</f>
        <v>0</v>
      </c>
      <c r="AS22" s="91"/>
      <c r="AT22" s="281" t="e">
        <f>SUM(AT20:AT21)</f>
        <v>#REF!</v>
      </c>
      <c r="AU22" s="281" t="e">
        <f>SUM(AU20:AU21)</f>
        <v>#VALUE!</v>
      </c>
      <c r="AV22" s="281">
        <f>SUM(AV20:AV21)</f>
        <v>0</v>
      </c>
      <c r="AW22" s="281">
        <f>SUM(AW20:AW21)</f>
        <v>0</v>
      </c>
      <c r="AX22" s="281">
        <f>SUM(AX20:AX21)</f>
        <v>0</v>
      </c>
      <c r="AY22" s="91"/>
      <c r="AZ22" s="144"/>
      <c r="BA22" s="91"/>
      <c r="BB22" s="91"/>
      <c r="BC22" s="91"/>
      <c r="BD22" s="91"/>
      <c r="BE22" s="91"/>
      <c r="BF22" s="91"/>
      <c r="BG22" s="91"/>
      <c r="BH22" s="91"/>
    </row>
    <row r="23" spans="2:60" s="17" customFormat="1" ht="19.5" thickTop="1">
      <c r="B23" s="262"/>
      <c r="C23" s="262"/>
      <c r="D23" s="262"/>
      <c r="E23" s="262"/>
      <c r="F23" s="247"/>
      <c r="G23" s="106"/>
      <c r="H23" s="144"/>
      <c r="I23" s="239"/>
      <c r="J23" s="239"/>
      <c r="K23" s="239"/>
      <c r="L23" s="239"/>
      <c r="M23" s="239"/>
      <c r="N23" s="91"/>
      <c r="O23" s="221"/>
      <c r="P23" s="221"/>
      <c r="Q23" s="221"/>
      <c r="R23" s="221"/>
      <c r="S23" s="221"/>
      <c r="T23" s="91"/>
      <c r="U23" s="204"/>
      <c r="V23" s="204"/>
      <c r="W23" s="204"/>
      <c r="X23" s="204"/>
      <c r="Y23" s="204"/>
      <c r="Z23" s="91"/>
      <c r="AA23" s="186"/>
      <c r="AB23" s="186"/>
      <c r="AC23" s="186"/>
      <c r="AD23" s="186"/>
      <c r="AE23" s="186"/>
      <c r="AF23" s="106"/>
      <c r="AG23" s="168"/>
      <c r="AH23" s="168"/>
      <c r="AI23" s="168"/>
      <c r="AJ23" s="168"/>
      <c r="AK23" s="168"/>
      <c r="AL23" s="91"/>
      <c r="AM23" s="303"/>
      <c r="AN23" s="303"/>
      <c r="AO23" s="303"/>
      <c r="AP23" s="303"/>
      <c r="AQ23" s="303"/>
      <c r="AR23" s="303"/>
      <c r="AS23" s="91"/>
      <c r="AT23" s="282"/>
      <c r="AU23" s="282"/>
      <c r="AV23" s="282"/>
      <c r="AW23" s="282"/>
      <c r="AX23" s="282"/>
      <c r="AY23" s="91"/>
      <c r="AZ23" s="144" t="s">
        <v>456</v>
      </c>
      <c r="BA23" s="91"/>
      <c r="BB23" s="91"/>
      <c r="BC23" s="91"/>
      <c r="BD23" s="91"/>
      <c r="BE23" s="91"/>
      <c r="BF23" s="91"/>
      <c r="BG23" s="91"/>
      <c r="BH23" s="91"/>
    </row>
    <row r="24" spans="1:50" ht="18.75" hidden="1">
      <c r="A24" s="51" t="s">
        <v>303</v>
      </c>
      <c r="B24" s="248" t="s">
        <v>56</v>
      </c>
      <c r="C24" s="249" t="s">
        <v>57</v>
      </c>
      <c r="D24" s="248" t="s">
        <v>56</v>
      </c>
      <c r="E24" s="248" t="s">
        <v>57</v>
      </c>
      <c r="F24" s="250"/>
      <c r="G24" s="97"/>
      <c r="I24" s="232" t="s">
        <v>56</v>
      </c>
      <c r="J24" s="232" t="s">
        <v>57</v>
      </c>
      <c r="K24" s="232" t="s">
        <v>56</v>
      </c>
      <c r="L24" s="232" t="s">
        <v>57</v>
      </c>
      <c r="M24" s="232" t="s">
        <v>101</v>
      </c>
      <c r="O24" s="215" t="s">
        <v>56</v>
      </c>
      <c r="P24" s="215" t="s">
        <v>57</v>
      </c>
      <c r="Q24" s="215" t="s">
        <v>56</v>
      </c>
      <c r="R24" s="215" t="s">
        <v>57</v>
      </c>
      <c r="S24" s="215" t="s">
        <v>101</v>
      </c>
      <c r="U24" s="198" t="s">
        <v>56</v>
      </c>
      <c r="V24" s="198" t="s">
        <v>57</v>
      </c>
      <c r="W24" s="198" t="s">
        <v>56</v>
      </c>
      <c r="X24" s="198" t="s">
        <v>57</v>
      </c>
      <c r="Y24" s="198" t="s">
        <v>101</v>
      </c>
      <c r="AA24" s="180" t="s">
        <v>56</v>
      </c>
      <c r="AB24" s="180" t="s">
        <v>57</v>
      </c>
      <c r="AC24" s="180" t="s">
        <v>56</v>
      </c>
      <c r="AD24" s="180" t="s">
        <v>57</v>
      </c>
      <c r="AE24" s="180" t="s">
        <v>101</v>
      </c>
      <c r="AF24" s="97"/>
      <c r="AG24" s="162" t="s">
        <v>56</v>
      </c>
      <c r="AH24" s="162" t="s">
        <v>57</v>
      </c>
      <c r="AI24" s="162" t="s">
        <v>56</v>
      </c>
      <c r="AJ24" s="162" t="s">
        <v>57</v>
      </c>
      <c r="AK24" s="162" t="s">
        <v>101</v>
      </c>
      <c r="AM24" s="18" t="s">
        <v>56</v>
      </c>
      <c r="AN24" s="18" t="s">
        <v>57</v>
      </c>
      <c r="AO24" s="18" t="s">
        <v>101</v>
      </c>
      <c r="AP24" s="18" t="s">
        <v>56</v>
      </c>
      <c r="AQ24" s="18" t="s">
        <v>57</v>
      </c>
      <c r="AR24" s="18" t="s">
        <v>101</v>
      </c>
      <c r="AT24" s="278" t="s">
        <v>56</v>
      </c>
      <c r="AU24" s="278" t="s">
        <v>57</v>
      </c>
      <c r="AV24" s="278" t="s">
        <v>56</v>
      </c>
      <c r="AW24" s="278" t="s">
        <v>57</v>
      </c>
      <c r="AX24" s="278" t="s">
        <v>101</v>
      </c>
    </row>
    <row r="25" spans="1:50" ht="18.75" hidden="1">
      <c r="A25" s="43" t="s">
        <v>294</v>
      </c>
      <c r="B25" s="251">
        <v>0</v>
      </c>
      <c r="C25" s="252">
        <v>0</v>
      </c>
      <c r="D25" s="251">
        <v>0</v>
      </c>
      <c r="E25" s="251">
        <v>0</v>
      </c>
      <c r="F25" s="247">
        <f>SUM(B25:C25)</f>
        <v>0</v>
      </c>
      <c r="I25" s="233"/>
      <c r="J25" s="233"/>
      <c r="K25" s="233"/>
      <c r="L25" s="233"/>
      <c r="M25" s="233"/>
      <c r="O25" s="216"/>
      <c r="P25" s="216"/>
      <c r="Q25" s="216"/>
      <c r="R25" s="216"/>
      <c r="S25" s="216"/>
      <c r="U25" s="199"/>
      <c r="V25" s="199"/>
      <c r="W25" s="199"/>
      <c r="X25" s="199"/>
      <c r="Y25" s="199"/>
      <c r="AA25" s="181"/>
      <c r="AB25" s="181"/>
      <c r="AC25" s="181">
        <v>58949</v>
      </c>
      <c r="AD25" s="181"/>
      <c r="AE25" s="181">
        <f>SUM(AC25:AD25)</f>
        <v>58949</v>
      </c>
      <c r="AG25" s="163"/>
      <c r="AH25" s="163"/>
      <c r="AI25" s="163"/>
      <c r="AJ25" s="163"/>
      <c r="AK25" s="163"/>
      <c r="AM25" s="107"/>
      <c r="AN25" s="107"/>
      <c r="AO25" s="107"/>
      <c r="AP25" s="107"/>
      <c r="AQ25" s="107"/>
      <c r="AR25" s="107"/>
      <c r="AT25" s="279" t="e">
        <f>+#REF!+I25+O25+U25+AA25+AG25+AM25</f>
        <v>#REF!</v>
      </c>
      <c r="AU25" s="279" t="e">
        <f>+A25+J25+P25+V25+AB25+AH25+AN25</f>
        <v>#VALUE!</v>
      </c>
      <c r="AV25" s="279">
        <f>+B25+K25+Q25+W25+AC25+AI25+AP25</f>
        <v>58949</v>
      </c>
      <c r="AW25" s="279">
        <f>+C25+L25+R25+X25+AD25+AJ25+AQ25</f>
        <v>0</v>
      </c>
      <c r="AX25" s="279">
        <f>SUM(AV25:AW25)</f>
        <v>58949</v>
      </c>
    </row>
    <row r="26" spans="1:60" s="17" customFormat="1" ht="19.5" hidden="1" thickBot="1">
      <c r="A26" s="17" t="s">
        <v>259</v>
      </c>
      <c r="B26" s="255">
        <f>SUM(B24:B25)</f>
        <v>0</v>
      </c>
      <c r="C26" s="256">
        <f>SUM(C24:C25)</f>
        <v>0</v>
      </c>
      <c r="D26" s="255">
        <f>SUM(D24:D25)</f>
        <v>0</v>
      </c>
      <c r="E26" s="255">
        <f>SUM(E24:E25)</f>
        <v>0</v>
      </c>
      <c r="F26" s="257">
        <f>SUM(F24:F25)</f>
        <v>0</v>
      </c>
      <c r="G26" s="106"/>
      <c r="H26" s="144"/>
      <c r="I26" s="236">
        <f>SUM(I24:I25)</f>
        <v>0</v>
      </c>
      <c r="J26" s="236">
        <f>SUM(J24:J25)</f>
        <v>0</v>
      </c>
      <c r="K26" s="236">
        <f>SUM(K24:K25)</f>
        <v>0</v>
      </c>
      <c r="L26" s="236">
        <f>SUM(L24:L25)</f>
        <v>0</v>
      </c>
      <c r="M26" s="236">
        <f>SUM(M24:M25)</f>
        <v>0</v>
      </c>
      <c r="N26" s="91"/>
      <c r="O26" s="218">
        <f>SUM(O24:O25)</f>
        <v>0</v>
      </c>
      <c r="P26" s="218">
        <f>SUM(P24:P25)</f>
        <v>0</v>
      </c>
      <c r="Q26" s="218">
        <f>SUM(Q24:Q25)</f>
        <v>0</v>
      </c>
      <c r="R26" s="218">
        <f>SUM(R24:R25)</f>
        <v>0</v>
      </c>
      <c r="S26" s="218">
        <f>SUM(S24:S25)</f>
        <v>0</v>
      </c>
      <c r="T26" s="91"/>
      <c r="U26" s="201">
        <f>SUM(U24:U25)</f>
        <v>0</v>
      </c>
      <c r="V26" s="201">
        <f>SUM(V24:V25)</f>
        <v>0</v>
      </c>
      <c r="W26" s="201">
        <f>SUM(W24:W25)</f>
        <v>0</v>
      </c>
      <c r="X26" s="201">
        <f>SUM(X24:X25)</f>
        <v>0</v>
      </c>
      <c r="Y26" s="201">
        <f>SUM(Y24:Y25)</f>
        <v>0</v>
      </c>
      <c r="Z26" s="91"/>
      <c r="AA26" s="183">
        <f>SUM(AA24:AA25)</f>
        <v>0</v>
      </c>
      <c r="AB26" s="183">
        <f>SUM(AB24:AB25)</f>
        <v>0</v>
      </c>
      <c r="AC26" s="183">
        <f>SUM(AC24:AC25)</f>
        <v>58949</v>
      </c>
      <c r="AD26" s="183">
        <f>SUM(AD24:AD25)</f>
        <v>0</v>
      </c>
      <c r="AE26" s="183">
        <f>SUM(AE24:AE25)</f>
        <v>58949</v>
      </c>
      <c r="AF26" s="106"/>
      <c r="AG26" s="165">
        <f>SUM(AG24:AG25)</f>
        <v>0</v>
      </c>
      <c r="AH26" s="165">
        <f>SUM(AH24:AH25)</f>
        <v>0</v>
      </c>
      <c r="AI26" s="165">
        <f>SUM(AI24:AI25)</f>
        <v>0</v>
      </c>
      <c r="AJ26" s="165">
        <f>SUM(AJ24:AJ25)</f>
        <v>0</v>
      </c>
      <c r="AK26" s="165">
        <f>SUM(AK24:AK25)</f>
        <v>0</v>
      </c>
      <c r="AL26" s="91"/>
      <c r="AM26" s="300">
        <f>SUM(AM24:AM25)</f>
        <v>0</v>
      </c>
      <c r="AN26" s="300">
        <f>SUM(AN24:AN25)</f>
        <v>0</v>
      </c>
      <c r="AO26" s="300"/>
      <c r="AP26" s="300">
        <f>SUM(AP24:AP25)</f>
        <v>0</v>
      </c>
      <c r="AQ26" s="300">
        <f>SUM(AQ24:AQ25)</f>
        <v>0</v>
      </c>
      <c r="AR26" s="300">
        <f>SUM(AR24:AR25)</f>
        <v>0</v>
      </c>
      <c r="AS26" s="91"/>
      <c r="AT26" s="281" t="e">
        <f>SUM(AT24:AT25)</f>
        <v>#REF!</v>
      </c>
      <c r="AU26" s="281" t="e">
        <f>SUM(AU24:AU25)</f>
        <v>#VALUE!</v>
      </c>
      <c r="AV26" s="281">
        <f>SUM(AV24:AV25)</f>
        <v>58949</v>
      </c>
      <c r="AW26" s="281">
        <f>SUM(AW24:AW25)</f>
        <v>0</v>
      </c>
      <c r="AX26" s="281">
        <f>SUM(AX24:AX25)</f>
        <v>58949</v>
      </c>
      <c r="AY26" s="91"/>
      <c r="AZ26" s="144"/>
      <c r="BA26" s="91"/>
      <c r="BB26" s="91"/>
      <c r="BC26" s="91"/>
      <c r="BD26" s="91"/>
      <c r="BE26" s="91"/>
      <c r="BF26" s="91"/>
      <c r="BG26" s="91"/>
      <c r="BH26" s="91"/>
    </row>
    <row r="28" spans="1:50" ht="18.75">
      <c r="A28" s="51" t="s">
        <v>457</v>
      </c>
      <c r="B28" s="248" t="s">
        <v>56</v>
      </c>
      <c r="C28" s="249" t="s">
        <v>57</v>
      </c>
      <c r="D28" s="248" t="s">
        <v>56</v>
      </c>
      <c r="E28" s="248" t="s">
        <v>57</v>
      </c>
      <c r="F28" s="250"/>
      <c r="G28" s="97"/>
      <c r="I28" s="232" t="s">
        <v>56</v>
      </c>
      <c r="J28" s="232" t="s">
        <v>57</v>
      </c>
      <c r="K28" s="232" t="s">
        <v>56</v>
      </c>
      <c r="L28" s="232" t="s">
        <v>57</v>
      </c>
      <c r="M28" s="232" t="s">
        <v>101</v>
      </c>
      <c r="O28" s="215" t="s">
        <v>56</v>
      </c>
      <c r="P28" s="215" t="s">
        <v>57</v>
      </c>
      <c r="Q28" s="215" t="s">
        <v>56</v>
      </c>
      <c r="R28" s="215" t="s">
        <v>57</v>
      </c>
      <c r="S28" s="215" t="s">
        <v>101</v>
      </c>
      <c r="U28" s="198" t="s">
        <v>56</v>
      </c>
      <c r="V28" s="198" t="s">
        <v>57</v>
      </c>
      <c r="W28" s="198" t="s">
        <v>56</v>
      </c>
      <c r="X28" s="198" t="s">
        <v>57</v>
      </c>
      <c r="Y28" s="198" t="s">
        <v>101</v>
      </c>
      <c r="AA28" s="180" t="s">
        <v>56</v>
      </c>
      <c r="AB28" s="180" t="s">
        <v>57</v>
      </c>
      <c r="AC28" s="180" t="s">
        <v>56</v>
      </c>
      <c r="AD28" s="180" t="s">
        <v>57</v>
      </c>
      <c r="AE28" s="180" t="s">
        <v>101</v>
      </c>
      <c r="AF28" s="97"/>
      <c r="AG28" s="162" t="s">
        <v>56</v>
      </c>
      <c r="AH28" s="162" t="s">
        <v>57</v>
      </c>
      <c r="AI28" s="162" t="s">
        <v>56</v>
      </c>
      <c r="AJ28" s="162" t="s">
        <v>57</v>
      </c>
      <c r="AK28" s="162" t="s">
        <v>101</v>
      </c>
      <c r="AM28" s="18" t="s">
        <v>56</v>
      </c>
      <c r="AN28" s="18" t="s">
        <v>57</v>
      </c>
      <c r="AO28" s="18" t="s">
        <v>101</v>
      </c>
      <c r="AP28" s="18" t="s">
        <v>56</v>
      </c>
      <c r="AQ28" s="18" t="s">
        <v>57</v>
      </c>
      <c r="AR28" s="18" t="s">
        <v>101</v>
      </c>
      <c r="AT28" s="278" t="s">
        <v>56</v>
      </c>
      <c r="AU28" s="278" t="s">
        <v>57</v>
      </c>
      <c r="AV28" s="278" t="s">
        <v>56</v>
      </c>
      <c r="AW28" s="278" t="s">
        <v>57</v>
      </c>
      <c r="AX28" s="278" t="s">
        <v>101</v>
      </c>
    </row>
    <row r="29" spans="1:50" ht="18.75">
      <c r="A29" s="43" t="s">
        <v>370</v>
      </c>
      <c r="B29" s="251"/>
      <c r="C29" s="252"/>
      <c r="D29" s="251">
        <v>0</v>
      </c>
      <c r="E29" s="251">
        <v>30000000</v>
      </c>
      <c r="F29" s="247">
        <f>SUM(B29:C29)</f>
        <v>0</v>
      </c>
      <c r="I29" s="233"/>
      <c r="J29" s="233"/>
      <c r="K29" s="233"/>
      <c r="L29" s="233">
        <v>2000000</v>
      </c>
      <c r="M29" s="233">
        <f>SUM(K29:L29)</f>
        <v>2000000</v>
      </c>
      <c r="O29" s="216"/>
      <c r="P29" s="216"/>
      <c r="Q29" s="216">
        <v>0</v>
      </c>
      <c r="R29" s="216">
        <v>2000000</v>
      </c>
      <c r="S29" s="216">
        <f>SUM(Q29:R29)</f>
        <v>2000000</v>
      </c>
      <c r="U29" s="199"/>
      <c r="V29" s="199"/>
      <c r="W29" s="199"/>
      <c r="X29" s="199">
        <v>2000000</v>
      </c>
      <c r="Y29" s="199">
        <f>SUM(W29:X29)</f>
        <v>2000000</v>
      </c>
      <c r="AA29" s="181"/>
      <c r="AB29" s="181">
        <v>2000000</v>
      </c>
      <c r="AC29" s="181"/>
      <c r="AD29" s="181">
        <v>2000000</v>
      </c>
      <c r="AE29" s="181">
        <f>SUM(AC29:AD29)</f>
        <v>2000000</v>
      </c>
      <c r="AG29" s="163"/>
      <c r="AH29" s="163"/>
      <c r="AI29" s="163"/>
      <c r="AJ29" s="163">
        <v>3000000</v>
      </c>
      <c r="AK29" s="163">
        <f>SUM(AI29:AJ29)</f>
        <v>3000000</v>
      </c>
      <c r="AM29" s="107">
        <v>0</v>
      </c>
      <c r="AN29" s="107">
        <v>3000000</v>
      </c>
      <c r="AO29" s="107">
        <f>SUM(AM29:AN29)</f>
        <v>3000000</v>
      </c>
      <c r="AP29" s="107">
        <v>0</v>
      </c>
      <c r="AQ29" s="107">
        <v>3000000</v>
      </c>
      <c r="AR29" s="107">
        <f>SUM(AP29:AQ29)</f>
        <v>3000000</v>
      </c>
      <c r="AT29" s="279" t="e">
        <f>+#REF!+I29+O29+U29+AA29+AG29+AM29</f>
        <v>#REF!</v>
      </c>
      <c r="AU29" s="279" t="e">
        <f>+A29+J29+P29+V29+AB29+AH29+AN29</f>
        <v>#VALUE!</v>
      </c>
      <c r="AV29" s="279">
        <f>+B29+K29+Q29+W29+AC29+AI29+AP29</f>
        <v>0</v>
      </c>
      <c r="AW29" s="279">
        <f>+C29+L29+R29+X29+AD29+AJ29+AQ29</f>
        <v>14000000</v>
      </c>
      <c r="AX29" s="279">
        <f>SUM(AV29:AW29)</f>
        <v>14000000</v>
      </c>
    </row>
    <row r="30" spans="1:50" ht="18.75">
      <c r="A30" s="43" t="s">
        <v>371</v>
      </c>
      <c r="B30" s="251"/>
      <c r="C30" s="252"/>
      <c r="D30" s="251">
        <v>0</v>
      </c>
      <c r="E30" s="251">
        <v>2000000</v>
      </c>
      <c r="F30" s="247">
        <f>SUM(B30:C30)</f>
        <v>0</v>
      </c>
      <c r="I30" s="233"/>
      <c r="J30" s="233"/>
      <c r="K30" s="233"/>
      <c r="L30" s="233">
        <v>1000000</v>
      </c>
      <c r="M30" s="233">
        <f>SUM(K30:L30)</f>
        <v>1000000</v>
      </c>
      <c r="O30" s="216"/>
      <c r="P30" s="216"/>
      <c r="Q30" s="216">
        <v>0</v>
      </c>
      <c r="R30" s="216"/>
      <c r="S30" s="216">
        <f>SUM(Q30:R30)</f>
        <v>0</v>
      </c>
      <c r="U30" s="199"/>
      <c r="V30" s="199"/>
      <c r="W30" s="199"/>
      <c r="X30" s="199"/>
      <c r="Y30" s="199">
        <f>SUM(W30:X30)</f>
        <v>0</v>
      </c>
      <c r="AA30" s="181"/>
      <c r="AB30" s="181">
        <v>1000000</v>
      </c>
      <c r="AC30" s="181"/>
      <c r="AD30" s="181">
        <v>1000000</v>
      </c>
      <c r="AE30" s="181">
        <f>SUM(AC30:AD30)</f>
        <v>1000000</v>
      </c>
      <c r="AG30" s="163"/>
      <c r="AH30" s="163"/>
      <c r="AI30" s="163"/>
      <c r="AJ30" s="163">
        <v>2000000</v>
      </c>
      <c r="AK30" s="163">
        <f>SUM(AI30:AJ30)</f>
        <v>2000000</v>
      </c>
      <c r="AM30" s="107">
        <v>0</v>
      </c>
      <c r="AN30" s="107">
        <v>524923.06</v>
      </c>
      <c r="AO30" s="107">
        <f>SUM(AM30:AN30)</f>
        <v>524923.06</v>
      </c>
      <c r="AP30" s="107">
        <v>0</v>
      </c>
      <c r="AQ30" s="107">
        <v>522960.12</v>
      </c>
      <c r="AR30" s="107">
        <f>SUM(AP30:AQ30)</f>
        <v>522960.12</v>
      </c>
      <c r="AT30" s="279" t="e">
        <f>+#REF!+I30+O30+U30+AA30+AG30+AM30</f>
        <v>#REF!</v>
      </c>
      <c r="AU30" s="279" t="e">
        <f>+A30+J30+P30+V30+AB30+AH30+AN30</f>
        <v>#VALUE!</v>
      </c>
      <c r="AV30" s="279">
        <f>+B30+K30+Q30+W30+AC30+AI30+AP30</f>
        <v>0</v>
      </c>
      <c r="AW30" s="279">
        <f>+C30+L30+R30+X30+AD30+AJ30+AQ30</f>
        <v>4522960.12</v>
      </c>
      <c r="AX30" s="279">
        <f>SUM(AV30:AW30)</f>
        <v>4522960.12</v>
      </c>
    </row>
    <row r="31" spans="1:60" s="17" customFormat="1" ht="19.5" thickBot="1">
      <c r="A31" s="17" t="s">
        <v>107</v>
      </c>
      <c r="B31" s="255">
        <v>0</v>
      </c>
      <c r="C31" s="256">
        <f>SUM(C29:C30)</f>
        <v>0</v>
      </c>
      <c r="D31" s="255">
        <v>0</v>
      </c>
      <c r="E31" s="255">
        <f>SUM(E29:E30)</f>
        <v>32000000</v>
      </c>
      <c r="F31" s="257">
        <f>SUM(F29:F30)</f>
        <v>0</v>
      </c>
      <c r="G31" s="106"/>
      <c r="H31" s="144"/>
      <c r="I31" s="236">
        <v>0</v>
      </c>
      <c r="J31" s="236">
        <f>SUM(J29:J30)</f>
        <v>0</v>
      </c>
      <c r="K31" s="236">
        <v>0</v>
      </c>
      <c r="L31" s="236">
        <f>SUM(L29:L30)</f>
        <v>3000000</v>
      </c>
      <c r="M31" s="236">
        <f>SUM(M29:M30)</f>
        <v>3000000</v>
      </c>
      <c r="N31" s="91"/>
      <c r="O31" s="218">
        <v>0</v>
      </c>
      <c r="P31" s="218">
        <f>SUM(P29:P30)</f>
        <v>0</v>
      </c>
      <c r="Q31" s="218">
        <v>0</v>
      </c>
      <c r="R31" s="218">
        <f>SUM(R29:R30)</f>
        <v>2000000</v>
      </c>
      <c r="S31" s="218">
        <f>SUM(S29:S30)</f>
        <v>2000000</v>
      </c>
      <c r="T31" s="91"/>
      <c r="U31" s="201">
        <v>0</v>
      </c>
      <c r="V31" s="201">
        <f>SUM(V29:V30)</f>
        <v>0</v>
      </c>
      <c r="W31" s="201">
        <v>0</v>
      </c>
      <c r="X31" s="201">
        <f>SUM(X29:X30)</f>
        <v>2000000</v>
      </c>
      <c r="Y31" s="201">
        <f>SUM(Y29:Y30)</f>
        <v>2000000</v>
      </c>
      <c r="Z31" s="91"/>
      <c r="AA31" s="183">
        <v>0</v>
      </c>
      <c r="AB31" s="183">
        <f>SUM(AB29:AB30)</f>
        <v>3000000</v>
      </c>
      <c r="AC31" s="183">
        <v>0</v>
      </c>
      <c r="AD31" s="183">
        <f>SUM(AD29:AD30)</f>
        <v>3000000</v>
      </c>
      <c r="AE31" s="183">
        <f>SUM(AE29:AE30)</f>
        <v>3000000</v>
      </c>
      <c r="AF31" s="106"/>
      <c r="AG31" s="165">
        <v>0</v>
      </c>
      <c r="AH31" s="165">
        <f>SUM(AH29:AH30)</f>
        <v>0</v>
      </c>
      <c r="AI31" s="165">
        <v>0</v>
      </c>
      <c r="AJ31" s="165">
        <f>SUM(AJ29:AJ30)</f>
        <v>5000000</v>
      </c>
      <c r="AK31" s="165">
        <f>SUM(AK29:AK30)</f>
        <v>5000000</v>
      </c>
      <c r="AL31" s="91"/>
      <c r="AM31" s="300">
        <v>0</v>
      </c>
      <c r="AN31" s="300">
        <f>SUM(AN29:AN30)</f>
        <v>3524923.06</v>
      </c>
      <c r="AO31" s="300">
        <f>SUM(AM31:AN31)</f>
        <v>3524923.06</v>
      </c>
      <c r="AP31" s="300">
        <v>0</v>
      </c>
      <c r="AQ31" s="300">
        <f>SUM(AQ29:AQ30)</f>
        <v>3522960.12</v>
      </c>
      <c r="AR31" s="300">
        <f>SUM(AR29:AR30)</f>
        <v>3522960.12</v>
      </c>
      <c r="AS31" s="91"/>
      <c r="AT31" s="281" t="e">
        <f>SUM(AT29:AT30)</f>
        <v>#REF!</v>
      </c>
      <c r="AU31" s="281" t="e">
        <f>SUM(AU29:AU30)</f>
        <v>#VALUE!</v>
      </c>
      <c r="AV31" s="281">
        <f>SUM(AV29:AV30)</f>
        <v>0</v>
      </c>
      <c r="AW31" s="281">
        <f>SUM(AW29:AW30)</f>
        <v>18522960.12</v>
      </c>
      <c r="AX31" s="281">
        <f>SUM(AX29:AX30)</f>
        <v>18522960.12</v>
      </c>
      <c r="AY31" s="91"/>
      <c r="AZ31" s="144"/>
      <c r="BA31" s="91"/>
      <c r="BB31" s="91"/>
      <c r="BC31" s="91"/>
      <c r="BD31" s="91"/>
      <c r="BE31" s="91"/>
      <c r="BF31" s="91"/>
      <c r="BG31" s="91"/>
      <c r="BH31" s="91"/>
    </row>
    <row r="32" spans="2:60" s="17" customFormat="1" ht="19.5" thickTop="1">
      <c r="B32" s="247"/>
      <c r="C32" s="247"/>
      <c r="D32" s="247"/>
      <c r="E32" s="247"/>
      <c r="F32" s="247"/>
      <c r="G32" s="106"/>
      <c r="H32" s="144"/>
      <c r="I32" s="231"/>
      <c r="J32" s="231"/>
      <c r="K32" s="231"/>
      <c r="L32" s="231"/>
      <c r="M32" s="231"/>
      <c r="N32" s="91"/>
      <c r="O32" s="214"/>
      <c r="P32" s="214"/>
      <c r="Q32" s="214"/>
      <c r="R32" s="214"/>
      <c r="S32" s="214"/>
      <c r="T32" s="91"/>
      <c r="U32" s="197"/>
      <c r="V32" s="197"/>
      <c r="W32" s="197"/>
      <c r="X32" s="197"/>
      <c r="Y32" s="197"/>
      <c r="Z32" s="91"/>
      <c r="AA32" s="179"/>
      <c r="AB32" s="179"/>
      <c r="AC32" s="179"/>
      <c r="AD32" s="179"/>
      <c r="AE32" s="179"/>
      <c r="AF32" s="106"/>
      <c r="AG32" s="161"/>
      <c r="AH32" s="161"/>
      <c r="AI32" s="161"/>
      <c r="AJ32" s="161"/>
      <c r="AK32" s="161"/>
      <c r="AL32" s="91"/>
      <c r="AM32" s="106"/>
      <c r="AN32" s="106"/>
      <c r="AO32" s="106"/>
      <c r="AP32" s="106"/>
      <c r="AQ32" s="106"/>
      <c r="AR32" s="106"/>
      <c r="AS32" s="91"/>
      <c r="AT32" s="277"/>
      <c r="AU32" s="277"/>
      <c r="AV32" s="277"/>
      <c r="AW32" s="277"/>
      <c r="AX32" s="277"/>
      <c r="AY32" s="91"/>
      <c r="AZ32" s="144"/>
      <c r="BA32" s="91"/>
      <c r="BB32" s="91"/>
      <c r="BC32" s="91"/>
      <c r="BD32" s="91"/>
      <c r="BE32" s="91"/>
      <c r="BF32" s="91"/>
      <c r="BG32" s="91"/>
      <c r="BH32" s="91"/>
    </row>
    <row r="33" spans="1:50" ht="18.75">
      <c r="A33" s="51" t="s">
        <v>458</v>
      </c>
      <c r="B33" s="248" t="s">
        <v>56</v>
      </c>
      <c r="C33" s="249" t="s">
        <v>57</v>
      </c>
      <c r="D33" s="248" t="s">
        <v>56</v>
      </c>
      <c r="E33" s="248" t="s">
        <v>57</v>
      </c>
      <c r="F33" s="250"/>
      <c r="G33" s="97"/>
      <c r="I33" s="232" t="s">
        <v>56</v>
      </c>
      <c r="J33" s="232" t="s">
        <v>57</v>
      </c>
      <c r="K33" s="232" t="s">
        <v>56</v>
      </c>
      <c r="L33" s="232" t="s">
        <v>57</v>
      </c>
      <c r="M33" s="232" t="s">
        <v>101</v>
      </c>
      <c r="O33" s="215" t="s">
        <v>56</v>
      </c>
      <c r="P33" s="215" t="s">
        <v>57</v>
      </c>
      <c r="Q33" s="215" t="s">
        <v>56</v>
      </c>
      <c r="R33" s="215" t="s">
        <v>57</v>
      </c>
      <c r="S33" s="215" t="s">
        <v>101</v>
      </c>
      <c r="U33" s="198" t="s">
        <v>56</v>
      </c>
      <c r="V33" s="198" t="s">
        <v>57</v>
      </c>
      <c r="W33" s="198" t="s">
        <v>56</v>
      </c>
      <c r="X33" s="198" t="s">
        <v>57</v>
      </c>
      <c r="Y33" s="198" t="s">
        <v>101</v>
      </c>
      <c r="AA33" s="180" t="s">
        <v>56</v>
      </c>
      <c r="AB33" s="180" t="s">
        <v>57</v>
      </c>
      <c r="AC33" s="180" t="s">
        <v>56</v>
      </c>
      <c r="AD33" s="180" t="s">
        <v>57</v>
      </c>
      <c r="AE33" s="180" t="s">
        <v>101</v>
      </c>
      <c r="AF33" s="97"/>
      <c r="AG33" s="162" t="s">
        <v>56</v>
      </c>
      <c r="AH33" s="162" t="s">
        <v>57</v>
      </c>
      <c r="AI33" s="162" t="s">
        <v>56</v>
      </c>
      <c r="AJ33" s="162" t="s">
        <v>57</v>
      </c>
      <c r="AK33" s="162" t="s">
        <v>101</v>
      </c>
      <c r="AM33" s="18" t="s">
        <v>56</v>
      </c>
      <c r="AN33" s="18" t="s">
        <v>57</v>
      </c>
      <c r="AO33" s="18" t="s">
        <v>101</v>
      </c>
      <c r="AP33" s="18" t="s">
        <v>56</v>
      </c>
      <c r="AQ33" s="18" t="s">
        <v>57</v>
      </c>
      <c r="AR33" s="18" t="s">
        <v>101</v>
      </c>
      <c r="AT33" s="278" t="s">
        <v>56</v>
      </c>
      <c r="AU33" s="278" t="s">
        <v>57</v>
      </c>
      <c r="AV33" s="278" t="s">
        <v>56</v>
      </c>
      <c r="AW33" s="278" t="s">
        <v>57</v>
      </c>
      <c r="AX33" s="278" t="s">
        <v>101</v>
      </c>
    </row>
    <row r="34" spans="1:50" ht="18.75">
      <c r="A34" s="43" t="s">
        <v>386</v>
      </c>
      <c r="B34" s="248"/>
      <c r="C34" s="264"/>
      <c r="D34" s="248"/>
      <c r="E34" s="288">
        <v>110000000</v>
      </c>
      <c r="F34" s="250">
        <f>SUM(C34)</f>
        <v>0</v>
      </c>
      <c r="G34" s="97"/>
      <c r="I34" s="232"/>
      <c r="J34" s="232"/>
      <c r="K34" s="232"/>
      <c r="L34" s="232"/>
      <c r="M34" s="232"/>
      <c r="O34" s="215"/>
      <c r="P34" s="215"/>
      <c r="Q34" s="215"/>
      <c r="R34" s="215"/>
      <c r="S34" s="215"/>
      <c r="U34" s="198"/>
      <c r="V34" s="198"/>
      <c r="W34" s="198"/>
      <c r="X34" s="198"/>
      <c r="Y34" s="198"/>
      <c r="AA34" s="180"/>
      <c r="AB34" s="180"/>
      <c r="AC34" s="180"/>
      <c r="AD34" s="180"/>
      <c r="AE34" s="180"/>
      <c r="AF34" s="97"/>
      <c r="AG34" s="162"/>
      <c r="AH34" s="162"/>
      <c r="AI34" s="162"/>
      <c r="AJ34" s="162"/>
      <c r="AK34" s="162"/>
      <c r="AM34" s="18">
        <v>0</v>
      </c>
      <c r="AN34" s="18">
        <v>0</v>
      </c>
      <c r="AO34" s="18">
        <f>SUM(AM34:AN34)</f>
        <v>0</v>
      </c>
      <c r="AP34" s="18">
        <v>0</v>
      </c>
      <c r="AQ34" s="18">
        <v>0</v>
      </c>
      <c r="AR34" s="18">
        <f>SUM(AP34:AQ34)</f>
        <v>0</v>
      </c>
      <c r="AT34" s="279" t="e">
        <f>+#REF!+I34+O34+U34+AA34+AG34+AM34</f>
        <v>#REF!</v>
      </c>
      <c r="AU34" s="279"/>
      <c r="AV34" s="279">
        <f>+B34+K34+Q34+W34+AC34+AI34+AP34</f>
        <v>0</v>
      </c>
      <c r="AW34" s="279"/>
      <c r="AX34" s="279"/>
    </row>
    <row r="35" spans="1:50" ht="18.75">
      <c r="A35" s="43" t="s">
        <v>489</v>
      </c>
      <c r="B35" s="251"/>
      <c r="C35" s="252"/>
      <c r="D35" s="251">
        <f>+'หมายเหตุ 31,32,33'!F38</f>
        <v>0</v>
      </c>
      <c r="E35" s="251">
        <f>+'หมายเหตุ 31,32,33'!G38</f>
        <v>0</v>
      </c>
      <c r="F35" s="247">
        <f>SUM(B35:C35)</f>
        <v>0</v>
      </c>
      <c r="I35" s="233"/>
      <c r="J35" s="233"/>
      <c r="K35" s="233"/>
      <c r="L35" s="233"/>
      <c r="M35" s="233"/>
      <c r="O35" s="216"/>
      <c r="P35" s="216"/>
      <c r="Q35" s="216"/>
      <c r="R35" s="216"/>
      <c r="S35" s="216"/>
      <c r="U35" s="199"/>
      <c r="V35" s="199"/>
      <c r="W35" s="199"/>
      <c r="X35" s="199"/>
      <c r="Y35" s="199"/>
      <c r="AA35" s="181"/>
      <c r="AB35" s="181"/>
      <c r="AC35" s="181"/>
      <c r="AD35" s="181"/>
      <c r="AE35" s="181">
        <f>SUM(AC35:AD35)</f>
        <v>0</v>
      </c>
      <c r="AG35" s="163"/>
      <c r="AH35" s="163"/>
      <c r="AI35" s="163"/>
      <c r="AJ35" s="163">
        <v>51326402.48</v>
      </c>
      <c r="AK35" s="163">
        <f>SUM(AI35:AJ35)</f>
        <v>51326402.48</v>
      </c>
      <c r="AM35" s="107">
        <v>0</v>
      </c>
      <c r="AN35" s="107">
        <v>0</v>
      </c>
      <c r="AO35" s="18">
        <f>SUM(AM35:AN35)</f>
        <v>0</v>
      </c>
      <c r="AP35" s="107">
        <v>0</v>
      </c>
      <c r="AQ35" s="107">
        <v>0</v>
      </c>
      <c r="AR35" s="107">
        <f>SUM(AP35:AQ35)</f>
        <v>0</v>
      </c>
      <c r="AT35" s="279">
        <f>+'หมายเหตุ 31,32,33'!B38</f>
        <v>0</v>
      </c>
      <c r="AU35" s="279">
        <f>+'หมายเหตุ 31,32,33'!C38</f>
        <v>0</v>
      </c>
      <c r="AV35" s="279">
        <f>+'หมายเหตุ 31,32,33'!D38</f>
        <v>0</v>
      </c>
      <c r="AW35" s="279">
        <f>+'หมายเหตุ 31,32,33'!E38</f>
        <v>5936065.29</v>
      </c>
      <c r="AX35" s="279">
        <f>SUM(AV35:AW35)</f>
        <v>5936065.29</v>
      </c>
    </row>
    <row r="36" spans="1:60" s="17" customFormat="1" ht="19.5" thickBot="1">
      <c r="A36" s="17" t="s">
        <v>108</v>
      </c>
      <c r="B36" s="255">
        <f>SUM(B35)</f>
        <v>0</v>
      </c>
      <c r="C36" s="256">
        <f>SUM(C34:C35)</f>
        <v>0</v>
      </c>
      <c r="D36" s="255">
        <f>SUM(D35)</f>
        <v>0</v>
      </c>
      <c r="E36" s="255">
        <f>SUM(E34:E35)</f>
        <v>110000000</v>
      </c>
      <c r="F36" s="257">
        <f>SUM(F34:F35)</f>
        <v>0</v>
      </c>
      <c r="G36" s="106"/>
      <c r="H36" s="144"/>
      <c r="I36" s="236">
        <f>SUM(I35)</f>
        <v>0</v>
      </c>
      <c r="J36" s="236">
        <f>SUM(J35)</f>
        <v>0</v>
      </c>
      <c r="K36" s="236">
        <f>SUM(K35)</f>
        <v>0</v>
      </c>
      <c r="L36" s="236">
        <f>SUM(L35)</f>
        <v>0</v>
      </c>
      <c r="M36" s="236">
        <f>SUM(M35)</f>
        <v>0</v>
      </c>
      <c r="N36" s="91"/>
      <c r="O36" s="218">
        <f>SUM(O35)</f>
        <v>0</v>
      </c>
      <c r="P36" s="218">
        <f>SUM(P35)</f>
        <v>0</v>
      </c>
      <c r="Q36" s="218">
        <f>SUM(Q35)</f>
        <v>0</v>
      </c>
      <c r="R36" s="218">
        <f>SUM(R35)</f>
        <v>0</v>
      </c>
      <c r="S36" s="218">
        <f>SUM(S35)</f>
        <v>0</v>
      </c>
      <c r="T36" s="91"/>
      <c r="U36" s="201">
        <f>SUM(U35)</f>
        <v>0</v>
      </c>
      <c r="V36" s="201">
        <f>SUM(V35)</f>
        <v>0</v>
      </c>
      <c r="W36" s="201">
        <f>SUM(W35)</f>
        <v>0</v>
      </c>
      <c r="X36" s="201">
        <f>SUM(X35)</f>
        <v>0</v>
      </c>
      <c r="Y36" s="201">
        <f>SUM(Y35)</f>
        <v>0</v>
      </c>
      <c r="Z36" s="91"/>
      <c r="AA36" s="183">
        <f>SUM(AA35)</f>
        <v>0</v>
      </c>
      <c r="AB36" s="183">
        <f>SUM(AB35)</f>
        <v>0</v>
      </c>
      <c r="AC36" s="183">
        <f>SUM(AC35)</f>
        <v>0</v>
      </c>
      <c r="AD36" s="183">
        <f>SUM(AD35)</f>
        <v>0</v>
      </c>
      <c r="AE36" s="183">
        <f>SUM(AE35)</f>
        <v>0</v>
      </c>
      <c r="AF36" s="106"/>
      <c r="AG36" s="165">
        <f>SUM(AG35)</f>
        <v>0</v>
      </c>
      <c r="AH36" s="165">
        <f>SUM(AH35)</f>
        <v>0</v>
      </c>
      <c r="AI36" s="165">
        <f>SUM(AI35)</f>
        <v>0</v>
      </c>
      <c r="AJ36" s="165">
        <f>SUM(AJ35)</f>
        <v>51326402.48</v>
      </c>
      <c r="AK36" s="165">
        <f>SUM(AK35)</f>
        <v>51326402.48</v>
      </c>
      <c r="AL36" s="91"/>
      <c r="AM36" s="300">
        <f>SUM(AM35)</f>
        <v>0</v>
      </c>
      <c r="AN36" s="300">
        <f>SUM(AN35)</f>
        <v>0</v>
      </c>
      <c r="AO36" s="300">
        <f>SUM(AM36:AN36)</f>
        <v>0</v>
      </c>
      <c r="AP36" s="300">
        <f>SUM(AP35)</f>
        <v>0</v>
      </c>
      <c r="AQ36" s="300">
        <f>SUM(AQ35)</f>
        <v>0</v>
      </c>
      <c r="AR36" s="300">
        <f>SUM(AR35)</f>
        <v>0</v>
      </c>
      <c r="AS36" s="91"/>
      <c r="AT36" s="281">
        <f>SUM(AT35)</f>
        <v>0</v>
      </c>
      <c r="AU36" s="281">
        <f>SUM(AU35)</f>
        <v>0</v>
      </c>
      <c r="AV36" s="281">
        <f>SUM(AV35)</f>
        <v>0</v>
      </c>
      <c r="AW36" s="281">
        <f>SUM(AW35)</f>
        <v>5936065.29</v>
      </c>
      <c r="AX36" s="281">
        <f>SUM(AX35)</f>
        <v>5936065.29</v>
      </c>
      <c r="AY36" s="91"/>
      <c r="AZ36" s="144"/>
      <c r="BA36" s="91"/>
      <c r="BB36" s="91"/>
      <c r="BC36" s="91"/>
      <c r="BD36" s="91"/>
      <c r="BE36" s="91"/>
      <c r="BF36" s="91"/>
      <c r="BG36" s="91"/>
      <c r="BH36" s="91"/>
    </row>
    <row r="37" spans="2:60" s="17" customFormat="1" ht="19.5" thickTop="1">
      <c r="B37" s="247"/>
      <c r="C37" s="247"/>
      <c r="D37" s="247"/>
      <c r="E37" s="247"/>
      <c r="F37" s="247"/>
      <c r="G37" s="106"/>
      <c r="H37" s="144"/>
      <c r="I37" s="231"/>
      <c r="J37" s="231"/>
      <c r="K37" s="231"/>
      <c r="L37" s="231"/>
      <c r="M37" s="231"/>
      <c r="N37" s="91"/>
      <c r="O37" s="214"/>
      <c r="P37" s="214"/>
      <c r="Q37" s="214"/>
      <c r="R37" s="214"/>
      <c r="S37" s="214"/>
      <c r="T37" s="91"/>
      <c r="U37" s="197"/>
      <c r="V37" s="197"/>
      <c r="W37" s="197"/>
      <c r="X37" s="197"/>
      <c r="Y37" s="197"/>
      <c r="Z37" s="91"/>
      <c r="AA37" s="179"/>
      <c r="AB37" s="179"/>
      <c r="AC37" s="179"/>
      <c r="AD37" s="179"/>
      <c r="AE37" s="179"/>
      <c r="AF37" s="106"/>
      <c r="AG37" s="161"/>
      <c r="AH37" s="161"/>
      <c r="AI37" s="161"/>
      <c r="AJ37" s="161"/>
      <c r="AK37" s="161"/>
      <c r="AL37" s="91"/>
      <c r="AM37" s="106"/>
      <c r="AN37" s="106"/>
      <c r="AO37" s="106"/>
      <c r="AP37" s="106"/>
      <c r="AQ37" s="106"/>
      <c r="AR37" s="106"/>
      <c r="AS37" s="91"/>
      <c r="AT37" s="277"/>
      <c r="AU37" s="277"/>
      <c r="AV37" s="277"/>
      <c r="AW37" s="277"/>
      <c r="AX37" s="277"/>
      <c r="AY37" s="91"/>
      <c r="AZ37" s="144"/>
      <c r="BA37" s="91"/>
      <c r="BB37" s="91"/>
      <c r="BC37" s="91"/>
      <c r="BD37" s="91"/>
      <c r="BE37" s="91"/>
      <c r="BF37" s="91"/>
      <c r="BG37" s="91"/>
      <c r="BH37" s="91"/>
    </row>
    <row r="38" spans="1:50" ht="18.75">
      <c r="A38" s="51" t="s">
        <v>459</v>
      </c>
      <c r="B38" s="248" t="s">
        <v>56</v>
      </c>
      <c r="C38" s="249" t="s">
        <v>57</v>
      </c>
      <c r="D38" s="248" t="s">
        <v>56</v>
      </c>
      <c r="E38" s="248" t="s">
        <v>57</v>
      </c>
      <c r="F38" s="250"/>
      <c r="G38" s="97"/>
      <c r="I38" s="232" t="s">
        <v>56</v>
      </c>
      <c r="J38" s="232" t="s">
        <v>57</v>
      </c>
      <c r="K38" s="232" t="s">
        <v>56</v>
      </c>
      <c r="L38" s="232" t="s">
        <v>57</v>
      </c>
      <c r="M38" s="232" t="s">
        <v>101</v>
      </c>
      <c r="O38" s="215" t="s">
        <v>56</v>
      </c>
      <c r="P38" s="215" t="s">
        <v>57</v>
      </c>
      <c r="Q38" s="215" t="s">
        <v>56</v>
      </c>
      <c r="R38" s="215" t="s">
        <v>57</v>
      </c>
      <c r="S38" s="215" t="s">
        <v>101</v>
      </c>
      <c r="U38" s="198" t="s">
        <v>56</v>
      </c>
      <c r="V38" s="198" t="s">
        <v>57</v>
      </c>
      <c r="W38" s="198" t="s">
        <v>56</v>
      </c>
      <c r="X38" s="198" t="s">
        <v>57</v>
      </c>
      <c r="Y38" s="198" t="s">
        <v>101</v>
      </c>
      <c r="AA38" s="180" t="s">
        <v>56</v>
      </c>
      <c r="AB38" s="180" t="s">
        <v>57</v>
      </c>
      <c r="AC38" s="180" t="s">
        <v>56</v>
      </c>
      <c r="AD38" s="180" t="s">
        <v>57</v>
      </c>
      <c r="AE38" s="180" t="s">
        <v>101</v>
      </c>
      <c r="AF38" s="97"/>
      <c r="AG38" s="162" t="s">
        <v>56</v>
      </c>
      <c r="AH38" s="162" t="s">
        <v>57</v>
      </c>
      <c r="AI38" s="162" t="s">
        <v>56</v>
      </c>
      <c r="AJ38" s="162" t="s">
        <v>57</v>
      </c>
      <c r="AK38" s="162" t="s">
        <v>101</v>
      </c>
      <c r="AM38" s="18" t="s">
        <v>56</v>
      </c>
      <c r="AN38" s="18" t="s">
        <v>57</v>
      </c>
      <c r="AO38" s="18" t="s">
        <v>101</v>
      </c>
      <c r="AP38" s="18" t="s">
        <v>56</v>
      </c>
      <c r="AQ38" s="18" t="s">
        <v>57</v>
      </c>
      <c r="AR38" s="18" t="s">
        <v>101</v>
      </c>
      <c r="AT38" s="278" t="s">
        <v>56</v>
      </c>
      <c r="AU38" s="278" t="s">
        <v>57</v>
      </c>
      <c r="AV38" s="278" t="s">
        <v>56</v>
      </c>
      <c r="AW38" s="278" t="s">
        <v>57</v>
      </c>
      <c r="AX38" s="278" t="s">
        <v>101</v>
      </c>
    </row>
    <row r="39" spans="1:50" ht="18.75">
      <c r="A39" s="43" t="s">
        <v>109</v>
      </c>
      <c r="B39" s="251"/>
      <c r="C39" s="252"/>
      <c r="D39" s="251">
        <v>0</v>
      </c>
      <c r="E39" s="251">
        <v>0</v>
      </c>
      <c r="F39" s="247">
        <f aca="true" t="shared" si="2" ref="F39:F44">SUM(B39:C39)</f>
        <v>0</v>
      </c>
      <c r="I39" s="233"/>
      <c r="J39" s="233"/>
      <c r="K39" s="233"/>
      <c r="L39" s="233"/>
      <c r="M39" s="233">
        <f aca="true" t="shared" si="3" ref="M39:M44">SUM(K39:L39)</f>
        <v>0</v>
      </c>
      <c r="O39" s="216"/>
      <c r="P39" s="216"/>
      <c r="Q39" s="216"/>
      <c r="R39" s="216"/>
      <c r="S39" s="216">
        <f aca="true" t="shared" si="4" ref="S39:S44">SUM(Q39:R39)</f>
        <v>0</v>
      </c>
      <c r="U39" s="199"/>
      <c r="V39" s="199"/>
      <c r="W39" s="199"/>
      <c r="X39" s="199"/>
      <c r="Y39" s="199">
        <f aca="true" t="shared" si="5" ref="Y39:Y44">SUM(W39:X39)</f>
        <v>0</v>
      </c>
      <c r="AA39" s="181"/>
      <c r="AB39" s="181"/>
      <c r="AC39" s="181"/>
      <c r="AD39" s="181">
        <v>3452200</v>
      </c>
      <c r="AE39" s="181">
        <f aca="true" t="shared" si="6" ref="AE39:AE44">SUM(AC39:AD39)</f>
        <v>3452200</v>
      </c>
      <c r="AG39" s="163"/>
      <c r="AH39" s="163"/>
      <c r="AI39" s="163"/>
      <c r="AJ39" s="163"/>
      <c r="AK39" s="163">
        <f aca="true" t="shared" si="7" ref="AK39:AK44">SUM(AI39:AJ39)</f>
        <v>0</v>
      </c>
      <c r="AM39" s="107"/>
      <c r="AN39" s="107"/>
      <c r="AO39" s="107">
        <f aca="true" t="shared" si="8" ref="AO39:AO44">SUM(AM39:AN39)</f>
        <v>0</v>
      </c>
      <c r="AP39" s="107"/>
      <c r="AQ39" s="107"/>
      <c r="AR39" s="107">
        <f aca="true" t="shared" si="9" ref="AR39:AR44">SUM(AP39:AQ39)</f>
        <v>0</v>
      </c>
      <c r="AT39" s="279" t="e">
        <f>+#REF!+I39+O39+U39+AA39+AG39+AM39</f>
        <v>#REF!</v>
      </c>
      <c r="AU39" s="279" t="e">
        <f aca="true" t="shared" si="10" ref="AU39:AU44">+A39+J39+P39+V39+AB39+AH39+AN39</f>
        <v>#VALUE!</v>
      </c>
      <c r="AV39" s="279">
        <f aca="true" t="shared" si="11" ref="AV39:AW44">+B39+K39+Q39+W39+AC39+AI39+AP39</f>
        <v>0</v>
      </c>
      <c r="AW39" s="279">
        <f t="shared" si="11"/>
        <v>3452200</v>
      </c>
      <c r="AX39" s="279">
        <f aca="true" t="shared" si="12" ref="AX39:AX44">SUM(AV39:AW39)</f>
        <v>3452200</v>
      </c>
    </row>
    <row r="40" spans="1:50" ht="18.75">
      <c r="A40" s="43" t="s">
        <v>296</v>
      </c>
      <c r="B40" s="251"/>
      <c r="C40" s="252"/>
      <c r="D40" s="251">
        <f>620003900+555216069.37+15468864.08</f>
        <v>1190688833.4499998</v>
      </c>
      <c r="E40" s="251">
        <f>269035065.15+6830105.31</f>
        <v>275865170.46</v>
      </c>
      <c r="F40" s="247">
        <f t="shared" si="2"/>
        <v>0</v>
      </c>
      <c r="I40" s="233"/>
      <c r="J40" s="233"/>
      <c r="K40" s="233">
        <v>352738519.09</v>
      </c>
      <c r="L40" s="233">
        <v>37337225.19</v>
      </c>
      <c r="M40" s="233">
        <f t="shared" si="3"/>
        <v>390075744.28</v>
      </c>
      <c r="O40" s="216"/>
      <c r="P40" s="216"/>
      <c r="Q40" s="216">
        <v>150431956.65</v>
      </c>
      <c r="R40" s="216">
        <v>6656532</v>
      </c>
      <c r="S40" s="216">
        <f t="shared" si="4"/>
        <v>157088488.65</v>
      </c>
      <c r="U40" s="199"/>
      <c r="V40" s="199"/>
      <c r="W40" s="199">
        <v>301001863.02</v>
      </c>
      <c r="X40" s="199">
        <v>13380834.92</v>
      </c>
      <c r="Y40" s="199">
        <f t="shared" si="5"/>
        <v>314382697.94</v>
      </c>
      <c r="AA40" s="181"/>
      <c r="AB40" s="181"/>
      <c r="AC40" s="181">
        <v>463725597.71</v>
      </c>
      <c r="AD40" s="181">
        <v>24863175.71</v>
      </c>
      <c r="AE40" s="181">
        <f t="shared" si="6"/>
        <v>488588773.41999996</v>
      </c>
      <c r="AG40" s="163"/>
      <c r="AH40" s="163"/>
      <c r="AI40" s="163">
        <v>344652656.67</v>
      </c>
      <c r="AJ40" s="163">
        <v>173778133.81</v>
      </c>
      <c r="AK40" s="163">
        <f t="shared" si="7"/>
        <v>518430790.48</v>
      </c>
      <c r="AM40" s="107">
        <v>386835262</v>
      </c>
      <c r="AN40" s="107">
        <v>5332120</v>
      </c>
      <c r="AO40" s="107">
        <f t="shared" si="8"/>
        <v>392167382</v>
      </c>
      <c r="AP40" s="107">
        <v>328498862</v>
      </c>
      <c r="AQ40" s="107">
        <v>1687120</v>
      </c>
      <c r="AR40" s="107">
        <f t="shared" si="9"/>
        <v>330185982</v>
      </c>
      <c r="AT40" s="279" t="e">
        <f>+#REF!+I40+O40+U40+AA40+AG40+AM40</f>
        <v>#REF!</v>
      </c>
      <c r="AU40" s="279" t="e">
        <f t="shared" si="10"/>
        <v>#VALUE!</v>
      </c>
      <c r="AV40" s="279">
        <f t="shared" si="11"/>
        <v>1941049455.14</v>
      </c>
      <c r="AW40" s="279">
        <f t="shared" si="11"/>
        <v>257703021.63</v>
      </c>
      <c r="AX40" s="279">
        <f t="shared" si="12"/>
        <v>2198752476.77</v>
      </c>
    </row>
    <row r="41" spans="1:50" ht="18.75">
      <c r="A41" s="43" t="s">
        <v>380</v>
      </c>
      <c r="B41" s="251"/>
      <c r="C41" s="252"/>
      <c r="D41" s="251">
        <v>-439524921.73</v>
      </c>
      <c r="E41" s="251">
        <f>-75760666.4+92750</f>
        <v>-75667916.4</v>
      </c>
      <c r="F41" s="247">
        <f t="shared" si="2"/>
        <v>0</v>
      </c>
      <c r="I41" s="233"/>
      <c r="J41" s="233"/>
      <c r="K41" s="233">
        <v>-140239603.21</v>
      </c>
      <c r="L41" s="233">
        <v>-7219286.61</v>
      </c>
      <c r="M41" s="233">
        <f t="shared" si="3"/>
        <v>-147458889.82000002</v>
      </c>
      <c r="O41" s="216"/>
      <c r="P41" s="216"/>
      <c r="Q41" s="216">
        <v>-88635336.58</v>
      </c>
      <c r="R41" s="216">
        <v>-1656527</v>
      </c>
      <c r="S41" s="216">
        <f t="shared" si="4"/>
        <v>-90291863.58</v>
      </c>
      <c r="U41" s="199"/>
      <c r="V41" s="199"/>
      <c r="W41" s="199">
        <v>-194020477.74</v>
      </c>
      <c r="X41" s="199">
        <v>-10392873.57</v>
      </c>
      <c r="Y41" s="199">
        <f t="shared" si="5"/>
        <v>-204413351.31</v>
      </c>
      <c r="AA41" s="181"/>
      <c r="AB41" s="181"/>
      <c r="AC41" s="181">
        <v>-252296650.41</v>
      </c>
      <c r="AD41" s="181">
        <v>-4745071.49</v>
      </c>
      <c r="AE41" s="181">
        <f t="shared" si="6"/>
        <v>-257041721.9</v>
      </c>
      <c r="AG41" s="163"/>
      <c r="AH41" s="163"/>
      <c r="AI41" s="163">
        <v>-150666632.5</v>
      </c>
      <c r="AJ41" s="163">
        <v>-73011827.99</v>
      </c>
      <c r="AK41" s="163">
        <f t="shared" si="7"/>
        <v>-223678460.49</v>
      </c>
      <c r="AM41" s="107">
        <f>-143739171.14-12720255.23</f>
        <v>-156459426.36999997</v>
      </c>
      <c r="AN41" s="107">
        <f>-470686.57-171444.46</f>
        <v>-642131.03</v>
      </c>
      <c r="AO41" s="107">
        <f>SUM(AM41:AN41)</f>
        <v>-157101557.39999998</v>
      </c>
      <c r="AP41" s="107">
        <v>-143739171.14</v>
      </c>
      <c r="AQ41" s="107">
        <v>-470686.57</v>
      </c>
      <c r="AR41" s="107">
        <f t="shared" si="9"/>
        <v>-144209857.70999998</v>
      </c>
      <c r="AT41" s="279" t="e">
        <f>+#REF!+I41+O41+U41+AA41+AG41+AM41</f>
        <v>#REF!</v>
      </c>
      <c r="AU41" s="279" t="e">
        <f t="shared" si="10"/>
        <v>#VALUE!</v>
      </c>
      <c r="AV41" s="279">
        <f t="shared" si="11"/>
        <v>-969597871.58</v>
      </c>
      <c r="AW41" s="279">
        <f t="shared" si="11"/>
        <v>-97496273.22999999</v>
      </c>
      <c r="AX41" s="279">
        <f t="shared" si="12"/>
        <v>-1067094144.8100001</v>
      </c>
    </row>
    <row r="42" spans="1:54" ht="18.75">
      <c r="A42" s="43" t="s">
        <v>298</v>
      </c>
      <c r="B42" s="251"/>
      <c r="C42" s="252"/>
      <c r="D42" s="251">
        <f>1572700375.65+24414049+8331025-21174953.35</f>
        <v>1584270496.3000002</v>
      </c>
      <c r="E42" s="251">
        <f>154076747.77+13969880-1039881.71</f>
        <v>167006746.06</v>
      </c>
      <c r="F42" s="247">
        <f t="shared" si="2"/>
        <v>0</v>
      </c>
      <c r="I42" s="233"/>
      <c r="J42" s="233"/>
      <c r="K42" s="233">
        <v>121340051.6</v>
      </c>
      <c r="L42" s="233">
        <v>50194497.7</v>
      </c>
      <c r="M42" s="233">
        <f t="shared" si="3"/>
        <v>171534549.3</v>
      </c>
      <c r="O42" s="216"/>
      <c r="P42" s="216"/>
      <c r="Q42" s="216">
        <v>67548478.64</v>
      </c>
      <c r="R42" s="216">
        <v>9697692.22</v>
      </c>
      <c r="S42" s="216">
        <f t="shared" si="4"/>
        <v>77246170.86</v>
      </c>
      <c r="U42" s="199"/>
      <c r="V42" s="199"/>
      <c r="W42" s="199">
        <f>122104280.78-153010</f>
        <v>121951270.78</v>
      </c>
      <c r="X42" s="199">
        <v>36141526.25</v>
      </c>
      <c r="Y42" s="199">
        <f t="shared" si="5"/>
        <v>158092797.03</v>
      </c>
      <c r="AA42" s="181"/>
      <c r="AB42" s="181"/>
      <c r="AC42" s="181">
        <v>165283414.02</v>
      </c>
      <c r="AD42" s="181">
        <v>34485904.95</v>
      </c>
      <c r="AE42" s="181">
        <f t="shared" si="6"/>
        <v>199769318.97000003</v>
      </c>
      <c r="AG42" s="163"/>
      <c r="AH42" s="163"/>
      <c r="AI42" s="163">
        <v>273415585.13</v>
      </c>
      <c r="AJ42" s="163">
        <v>105588801.13</v>
      </c>
      <c r="AK42" s="163">
        <f t="shared" si="7"/>
        <v>379004386.26</v>
      </c>
      <c r="AM42" s="107">
        <v>132936008.95</v>
      </c>
      <c r="AN42" s="107">
        <f>52867092.16+78000</f>
        <v>52945092.16</v>
      </c>
      <c r="AO42" s="107">
        <f t="shared" si="8"/>
        <v>185881101.11</v>
      </c>
      <c r="AP42" s="107">
        <v>120064557.24</v>
      </c>
      <c r="AQ42" s="107">
        <v>52809762.16</v>
      </c>
      <c r="AR42" s="107">
        <f t="shared" si="9"/>
        <v>172874319.39999998</v>
      </c>
      <c r="AT42" s="279" t="e">
        <f>+#REF!+I42+O42+U42+AA42+AG42+AM42</f>
        <v>#REF!</v>
      </c>
      <c r="AU42" s="279" t="e">
        <f t="shared" si="10"/>
        <v>#VALUE!</v>
      </c>
      <c r="AV42" s="279">
        <f t="shared" si="11"/>
        <v>869603357.41</v>
      </c>
      <c r="AW42" s="279">
        <f t="shared" si="11"/>
        <v>288918184.40999997</v>
      </c>
      <c r="AX42" s="280">
        <f t="shared" si="12"/>
        <v>1158521541.82</v>
      </c>
      <c r="AZ42" s="137">
        <f>1572700375.65+24414049</f>
        <v>1597114424.65</v>
      </c>
      <c r="BA42" s="50">
        <f>74154945.82+79921801.95</f>
        <v>154076747.76999998</v>
      </c>
      <c r="BB42" s="50">
        <f>SUM(AZ42:BA42)</f>
        <v>1751191172.42</v>
      </c>
    </row>
    <row r="43" spans="1:50" ht="18.75">
      <c r="A43" s="43" t="s">
        <v>381</v>
      </c>
      <c r="B43" s="251"/>
      <c r="C43" s="252"/>
      <c r="D43" s="251">
        <f>-896084361.96+15271505.15-14841584.69</f>
        <v>-895654441.5000001</v>
      </c>
      <c r="E43" s="251">
        <f>-125502091.61+188031.61-12913934.65</f>
        <v>-138227994.65</v>
      </c>
      <c r="F43" s="247">
        <f t="shared" si="2"/>
        <v>0</v>
      </c>
      <c r="I43" s="233"/>
      <c r="J43" s="233"/>
      <c r="K43" s="233">
        <v>-98667615.7</v>
      </c>
      <c r="L43" s="233">
        <v>-45582108.78</v>
      </c>
      <c r="M43" s="233">
        <f t="shared" si="3"/>
        <v>-144249724.48000002</v>
      </c>
      <c r="O43" s="216"/>
      <c r="P43" s="216"/>
      <c r="Q43" s="216">
        <v>-64213007.18</v>
      </c>
      <c r="R43" s="216">
        <v>-9157362.97</v>
      </c>
      <c r="S43" s="216">
        <f t="shared" si="4"/>
        <v>-73370370.15</v>
      </c>
      <c r="U43" s="199"/>
      <c r="V43" s="199"/>
      <c r="W43" s="199">
        <v>-103616427.74</v>
      </c>
      <c r="X43" s="199">
        <v>-27723346.43</v>
      </c>
      <c r="Y43" s="199">
        <f t="shared" si="5"/>
        <v>-131339774.16999999</v>
      </c>
      <c r="AA43" s="181"/>
      <c r="AB43" s="181"/>
      <c r="AC43" s="181">
        <v>-131376581.88</v>
      </c>
      <c r="AD43" s="181">
        <v>-28144800.68</v>
      </c>
      <c r="AE43" s="181">
        <f t="shared" si="6"/>
        <v>-159521382.56</v>
      </c>
      <c r="AG43" s="163"/>
      <c r="AH43" s="163"/>
      <c r="AI43" s="163">
        <f>+-239215260.83+-9183111.53</f>
        <v>-248398372.36</v>
      </c>
      <c r="AJ43" s="163">
        <v>-95859096.58</v>
      </c>
      <c r="AK43" s="163">
        <f t="shared" si="7"/>
        <v>-344257468.94</v>
      </c>
      <c r="AM43" s="107">
        <f>-103906287.81-7733976.36</f>
        <v>-111640264.17</v>
      </c>
      <c r="AN43" s="107">
        <f>-46663255.95-2465220.2</f>
        <v>-49128476.150000006</v>
      </c>
      <c r="AO43" s="107">
        <f>SUM(AM43:AN43)</f>
        <v>-160768740.32</v>
      </c>
      <c r="AP43" s="107">
        <v>-103906287.81</v>
      </c>
      <c r="AQ43" s="107">
        <v>-46663255.95</v>
      </c>
      <c r="AR43" s="107">
        <f t="shared" si="9"/>
        <v>-150569543.76</v>
      </c>
      <c r="AT43" s="279" t="e">
        <f>+#REF!+I43+O43+U43+AA43+AG43+AM43</f>
        <v>#REF!</v>
      </c>
      <c r="AU43" s="279" t="e">
        <f t="shared" si="10"/>
        <v>#VALUE!</v>
      </c>
      <c r="AV43" s="279">
        <f t="shared" si="11"/>
        <v>-750178292.6700001</v>
      </c>
      <c r="AW43" s="279">
        <f t="shared" si="11"/>
        <v>-253129971.39</v>
      </c>
      <c r="AX43" s="279">
        <f t="shared" si="12"/>
        <v>-1003308264.0600001</v>
      </c>
    </row>
    <row r="44" spans="1:50" ht="18.75">
      <c r="A44" s="61" t="s">
        <v>297</v>
      </c>
      <c r="B44" s="251"/>
      <c r="C44" s="252"/>
      <c r="D44" s="251">
        <f>570767157-32348228.39</f>
        <v>538418928.61</v>
      </c>
      <c r="E44" s="251">
        <v>0</v>
      </c>
      <c r="F44" s="247">
        <f t="shared" si="2"/>
        <v>0</v>
      </c>
      <c r="I44" s="233"/>
      <c r="J44" s="233"/>
      <c r="K44" s="233"/>
      <c r="L44" s="233"/>
      <c r="M44" s="233">
        <f t="shared" si="3"/>
        <v>0</v>
      </c>
      <c r="O44" s="216"/>
      <c r="P44" s="216"/>
      <c r="Q44" s="216"/>
      <c r="R44" s="216"/>
      <c r="S44" s="216">
        <f t="shared" si="4"/>
        <v>0</v>
      </c>
      <c r="U44" s="199"/>
      <c r="V44" s="199"/>
      <c r="W44" s="199">
        <v>32234820</v>
      </c>
      <c r="X44" s="199"/>
      <c r="Y44" s="199">
        <f t="shared" si="5"/>
        <v>32234820</v>
      </c>
      <c r="AA44" s="181"/>
      <c r="AB44" s="181"/>
      <c r="AC44" s="181">
        <v>4488750</v>
      </c>
      <c r="AD44" s="181"/>
      <c r="AE44" s="181">
        <f t="shared" si="6"/>
        <v>4488750</v>
      </c>
      <c r="AG44" s="163"/>
      <c r="AH44" s="163"/>
      <c r="AI44" s="163">
        <v>45271776.5</v>
      </c>
      <c r="AJ44" s="163">
        <v>5337709</v>
      </c>
      <c r="AK44" s="163">
        <f t="shared" si="7"/>
        <v>50609485.5</v>
      </c>
      <c r="AM44" s="107">
        <v>0</v>
      </c>
      <c r="AN44" s="107">
        <v>0</v>
      </c>
      <c r="AO44" s="107">
        <f t="shared" si="8"/>
        <v>0</v>
      </c>
      <c r="AP44" s="107">
        <v>44107400</v>
      </c>
      <c r="AQ44" s="107">
        <v>1819600</v>
      </c>
      <c r="AR44" s="107">
        <f t="shared" si="9"/>
        <v>45927000</v>
      </c>
      <c r="AT44" s="279" t="e">
        <f>+#REF!+I44+O44+U44+AA44+AG44+AM44</f>
        <v>#REF!</v>
      </c>
      <c r="AU44" s="279" t="e">
        <f t="shared" si="10"/>
        <v>#VALUE!</v>
      </c>
      <c r="AV44" s="279">
        <f t="shared" si="11"/>
        <v>126102746.5</v>
      </c>
      <c r="AW44" s="279">
        <f t="shared" si="11"/>
        <v>7157309</v>
      </c>
      <c r="AX44" s="280">
        <f t="shared" si="12"/>
        <v>133260055.5</v>
      </c>
    </row>
    <row r="45" spans="1:60" s="17" customFormat="1" ht="19.5" thickBot="1">
      <c r="A45" s="17" t="s">
        <v>299</v>
      </c>
      <c r="B45" s="255">
        <f>SUM(B39:B44)</f>
        <v>0</v>
      </c>
      <c r="C45" s="256">
        <f>SUM(C39:C44)</f>
        <v>0</v>
      </c>
      <c r="D45" s="255">
        <f>SUM(D39:D44)</f>
        <v>1978198895.13</v>
      </c>
      <c r="E45" s="255">
        <f>SUM(E39:E44)</f>
        <v>228976005.47</v>
      </c>
      <c r="F45" s="257">
        <f>SUM(F39:F44)</f>
        <v>0</v>
      </c>
      <c r="G45" s="106"/>
      <c r="H45" s="144"/>
      <c r="I45" s="236">
        <f>SUM(I39:I44)</f>
        <v>0</v>
      </c>
      <c r="J45" s="236">
        <f>SUM(J39:J44)</f>
        <v>0</v>
      </c>
      <c r="K45" s="236">
        <f>SUM(K39:K44)</f>
        <v>235171351.77999997</v>
      </c>
      <c r="L45" s="236">
        <f>SUM(L39:L44)</f>
        <v>34730327.5</v>
      </c>
      <c r="M45" s="236">
        <f>SUM(M39:M44)</f>
        <v>269901679.28</v>
      </c>
      <c r="N45" s="91"/>
      <c r="O45" s="218">
        <f>SUM(O39:O44)</f>
        <v>0</v>
      </c>
      <c r="P45" s="218">
        <f>SUM(P39:P44)</f>
        <v>0</v>
      </c>
      <c r="Q45" s="218">
        <f>SUM(Q39:Q44)</f>
        <v>65132091.53000001</v>
      </c>
      <c r="R45" s="218">
        <f>SUM(R39:R44)</f>
        <v>5540334.25</v>
      </c>
      <c r="S45" s="218">
        <f>SUM(S39:S44)</f>
        <v>70672425.78</v>
      </c>
      <c r="T45" s="91"/>
      <c r="U45" s="201">
        <f>SUM(U39:U44)</f>
        <v>0</v>
      </c>
      <c r="V45" s="201">
        <f>SUM(V39:V44)</f>
        <v>0</v>
      </c>
      <c r="W45" s="201">
        <f>SUM(W39:W44)</f>
        <v>157551048.32</v>
      </c>
      <c r="X45" s="201">
        <f>SUM(X39:X44)</f>
        <v>11406141.170000002</v>
      </c>
      <c r="Y45" s="201">
        <f>SUM(Y39:Y44)</f>
        <v>168957189.49</v>
      </c>
      <c r="Z45" s="91"/>
      <c r="AA45" s="183">
        <f>SUM(AA39:AA44)</f>
        <v>0</v>
      </c>
      <c r="AB45" s="183">
        <f>SUM(AB39:AB44)</f>
        <v>0</v>
      </c>
      <c r="AC45" s="183">
        <f>SUM(AC39:AC44)</f>
        <v>249824529.44</v>
      </c>
      <c r="AD45" s="183">
        <f>SUM(AD39:AD44)</f>
        <v>29911408.490000002</v>
      </c>
      <c r="AE45" s="183">
        <f>SUM(AE39:AE44)</f>
        <v>279735937.93</v>
      </c>
      <c r="AF45" s="106"/>
      <c r="AG45" s="165">
        <f>SUM(AG39:AG44)</f>
        <v>0</v>
      </c>
      <c r="AH45" s="165">
        <f>SUM(AH39:AH44)</f>
        <v>0</v>
      </c>
      <c r="AI45" s="165">
        <f>SUM(AI39:AI44)</f>
        <v>264275013.44</v>
      </c>
      <c r="AJ45" s="165">
        <f>SUM(AJ39:AJ44)</f>
        <v>115833719.36999999</v>
      </c>
      <c r="AK45" s="165">
        <f>SUM(AK39:AK44)</f>
        <v>380108732.81</v>
      </c>
      <c r="AL45" s="91"/>
      <c r="AM45" s="300">
        <f aca="true" t="shared" si="13" ref="AM45:AR45">SUM(AM39:AM44)</f>
        <v>251671580.41000003</v>
      </c>
      <c r="AN45" s="300">
        <f t="shared" si="13"/>
        <v>8506604.97999999</v>
      </c>
      <c r="AO45" s="300">
        <f t="shared" si="13"/>
        <v>260178185.39000005</v>
      </c>
      <c r="AP45" s="300">
        <f t="shared" si="13"/>
        <v>245025360.29000002</v>
      </c>
      <c r="AQ45" s="300">
        <f t="shared" si="13"/>
        <v>9182539.639999993</v>
      </c>
      <c r="AR45" s="300">
        <f t="shared" si="13"/>
        <v>254207899.93</v>
      </c>
      <c r="AS45" s="91"/>
      <c r="AT45" s="281" t="e">
        <f>SUM(AT39:AT44)</f>
        <v>#REF!</v>
      </c>
      <c r="AU45" s="281" t="e">
        <f>SUM(AU39:AU44)</f>
        <v>#VALUE!</v>
      </c>
      <c r="AV45" s="281">
        <f>SUM(AV39:AV44)</f>
        <v>1216979394.8</v>
      </c>
      <c r="AW45" s="281">
        <f>SUM(AW39:AW44)</f>
        <v>206604470.41999996</v>
      </c>
      <c r="AX45" s="281">
        <f>SUM(AX39:AX44)</f>
        <v>1423583865.2199998</v>
      </c>
      <c r="AY45" s="91"/>
      <c r="AZ45" s="144"/>
      <c r="BA45" s="91"/>
      <c r="BB45" s="91"/>
      <c r="BC45" s="91"/>
      <c r="BD45" s="91"/>
      <c r="BE45" s="91"/>
      <c r="BF45" s="91"/>
      <c r="BG45" s="91"/>
      <c r="BH45" s="91"/>
    </row>
    <row r="46" spans="2:60" s="17" customFormat="1" ht="19.5" thickTop="1">
      <c r="B46" s="247"/>
      <c r="C46" s="247"/>
      <c r="D46" s="247"/>
      <c r="E46" s="247"/>
      <c r="F46" s="247"/>
      <c r="G46" s="106"/>
      <c r="H46" s="144"/>
      <c r="I46" s="231"/>
      <c r="J46" s="231"/>
      <c r="K46" s="231"/>
      <c r="L46" s="231"/>
      <c r="M46" s="231"/>
      <c r="N46" s="91"/>
      <c r="O46" s="214"/>
      <c r="P46" s="214"/>
      <c r="Q46" s="214"/>
      <c r="R46" s="214"/>
      <c r="S46" s="214"/>
      <c r="T46" s="91"/>
      <c r="U46" s="197"/>
      <c r="V46" s="197"/>
      <c r="W46" s="197"/>
      <c r="X46" s="197"/>
      <c r="Y46" s="197"/>
      <c r="Z46" s="91"/>
      <c r="AA46" s="179"/>
      <c r="AB46" s="179"/>
      <c r="AC46" s="179"/>
      <c r="AD46" s="179"/>
      <c r="AE46" s="179"/>
      <c r="AF46" s="106"/>
      <c r="AG46" s="161"/>
      <c r="AH46" s="161"/>
      <c r="AI46" s="161"/>
      <c r="AJ46" s="161"/>
      <c r="AK46" s="161"/>
      <c r="AL46" s="91"/>
      <c r="AM46" s="106"/>
      <c r="AN46" s="106"/>
      <c r="AO46" s="106"/>
      <c r="AP46" s="106"/>
      <c r="AQ46" s="106"/>
      <c r="AR46" s="106"/>
      <c r="AS46" s="91"/>
      <c r="AT46" s="277"/>
      <c r="AU46" s="277"/>
      <c r="AV46" s="277"/>
      <c r="AW46" s="277"/>
      <c r="AX46" s="277"/>
      <c r="AY46" s="91"/>
      <c r="AZ46" s="144"/>
      <c r="BA46" s="91"/>
      <c r="BB46" s="91"/>
      <c r="BC46" s="91"/>
      <c r="BD46" s="91"/>
      <c r="BE46" s="91"/>
      <c r="BF46" s="91"/>
      <c r="BG46" s="91"/>
      <c r="BH46" s="91"/>
    </row>
    <row r="47" spans="1:50" ht="18.75">
      <c r="A47" s="51" t="s">
        <v>460</v>
      </c>
      <c r="B47" s="248" t="s">
        <v>56</v>
      </c>
      <c r="C47" s="249" t="s">
        <v>57</v>
      </c>
      <c r="D47" s="248" t="s">
        <v>56</v>
      </c>
      <c r="E47" s="248" t="s">
        <v>57</v>
      </c>
      <c r="F47" s="250"/>
      <c r="G47" s="97"/>
      <c r="I47" s="232" t="s">
        <v>56</v>
      </c>
      <c r="J47" s="232" t="s">
        <v>57</v>
      </c>
      <c r="K47" s="232" t="s">
        <v>56</v>
      </c>
      <c r="L47" s="232" t="s">
        <v>57</v>
      </c>
      <c r="M47" s="232" t="s">
        <v>101</v>
      </c>
      <c r="O47" s="215" t="s">
        <v>56</v>
      </c>
      <c r="P47" s="215" t="s">
        <v>57</v>
      </c>
      <c r="Q47" s="215" t="s">
        <v>56</v>
      </c>
      <c r="R47" s="215" t="s">
        <v>57</v>
      </c>
      <c r="S47" s="215" t="s">
        <v>101</v>
      </c>
      <c r="U47" s="198" t="s">
        <v>56</v>
      </c>
      <c r="V47" s="198" t="s">
        <v>57</v>
      </c>
      <c r="W47" s="198" t="s">
        <v>56</v>
      </c>
      <c r="X47" s="198" t="s">
        <v>57</v>
      </c>
      <c r="Y47" s="198" t="s">
        <v>101</v>
      </c>
      <c r="AA47" s="180" t="s">
        <v>56</v>
      </c>
      <c r="AB47" s="180" t="s">
        <v>57</v>
      </c>
      <c r="AC47" s="180" t="s">
        <v>56</v>
      </c>
      <c r="AD47" s="180" t="s">
        <v>57</v>
      </c>
      <c r="AE47" s="180" t="s">
        <v>101</v>
      </c>
      <c r="AF47" s="97"/>
      <c r="AG47" s="162" t="s">
        <v>56</v>
      </c>
      <c r="AH47" s="162" t="s">
        <v>57</v>
      </c>
      <c r="AI47" s="162" t="s">
        <v>56</v>
      </c>
      <c r="AJ47" s="162" t="s">
        <v>57</v>
      </c>
      <c r="AK47" s="162" t="s">
        <v>101</v>
      </c>
      <c r="AM47" s="18" t="s">
        <v>56</v>
      </c>
      <c r="AN47" s="18" t="s">
        <v>57</v>
      </c>
      <c r="AO47" s="18" t="s">
        <v>101</v>
      </c>
      <c r="AP47" s="18" t="s">
        <v>56</v>
      </c>
      <c r="AQ47" s="18" t="s">
        <v>57</v>
      </c>
      <c r="AR47" s="18" t="s">
        <v>101</v>
      </c>
      <c r="AT47" s="278" t="s">
        <v>56</v>
      </c>
      <c r="AU47" s="278" t="s">
        <v>57</v>
      </c>
      <c r="AV47" s="278" t="s">
        <v>56</v>
      </c>
      <c r="AW47" s="278" t="s">
        <v>57</v>
      </c>
      <c r="AX47" s="278" t="s">
        <v>101</v>
      </c>
    </row>
    <row r="48" spans="1:50" ht="18.75">
      <c r="A48" s="43" t="s">
        <v>300</v>
      </c>
      <c r="B48" s="251"/>
      <c r="C48" s="252"/>
      <c r="D48" s="251">
        <v>11111463.4</v>
      </c>
      <c r="E48" s="251">
        <v>121000</v>
      </c>
      <c r="F48" s="247">
        <f>SUM(B48:C48)</f>
        <v>0</v>
      </c>
      <c r="I48" s="233"/>
      <c r="J48" s="233"/>
      <c r="K48" s="233"/>
      <c r="L48" s="233"/>
      <c r="M48" s="233"/>
      <c r="O48" s="216"/>
      <c r="P48" s="216"/>
      <c r="Q48" s="216"/>
      <c r="R48" s="216"/>
      <c r="S48" s="216">
        <f>SUM(Q47:R48)</f>
        <v>0</v>
      </c>
      <c r="U48" s="199"/>
      <c r="V48" s="199"/>
      <c r="W48" s="199">
        <v>153010</v>
      </c>
      <c r="X48" s="199"/>
      <c r="Y48" s="199">
        <f>SUM(W47:X48)</f>
        <v>153010</v>
      </c>
      <c r="AA48" s="181"/>
      <c r="AB48" s="181"/>
      <c r="AC48" s="181"/>
      <c r="AD48" s="181"/>
      <c r="AE48" s="181">
        <f>SUM(AC47:AD48)</f>
        <v>0</v>
      </c>
      <c r="AG48" s="163"/>
      <c r="AH48" s="163"/>
      <c r="AI48" s="163"/>
      <c r="AJ48" s="163">
        <v>60000</v>
      </c>
      <c r="AK48" s="163">
        <f>SUM(AI47:AJ48)</f>
        <v>60000</v>
      </c>
      <c r="AM48" s="107">
        <v>0</v>
      </c>
      <c r="AN48" s="107">
        <v>0</v>
      </c>
      <c r="AO48" s="107">
        <f>SUM(AM48:AN48)</f>
        <v>0</v>
      </c>
      <c r="AP48" s="107">
        <v>0</v>
      </c>
      <c r="AQ48" s="107">
        <v>0</v>
      </c>
      <c r="AR48" s="107">
        <f>SUM(AP47:AQ48)</f>
        <v>0</v>
      </c>
      <c r="AT48" s="279" t="e">
        <f>+#REF!+I48+O48+U48+AA48+AG48+AM48</f>
        <v>#REF!</v>
      </c>
      <c r="AU48" s="279" t="e">
        <f>+A48+J48+P48+V48+AB48+AH48+AN48</f>
        <v>#VALUE!</v>
      </c>
      <c r="AV48" s="279">
        <f>+B48+K48+Q48+W48+AC48+AI48+AP48</f>
        <v>153010</v>
      </c>
      <c r="AW48" s="279">
        <f>+C48+L48+R48+X48+AD48+AJ48+AQ48</f>
        <v>60000</v>
      </c>
      <c r="AX48" s="279">
        <f>SUM(AV48:AW48)</f>
        <v>213010</v>
      </c>
    </row>
    <row r="49" spans="1:50" ht="18.75">
      <c r="A49" s="43" t="s">
        <v>260</v>
      </c>
      <c r="B49" s="251"/>
      <c r="C49" s="252"/>
      <c r="D49" s="251">
        <v>-1281534.05</v>
      </c>
      <c r="E49" s="251">
        <v>-26733.33</v>
      </c>
      <c r="F49" s="247">
        <f>SUM(B49:C49)</f>
        <v>0</v>
      </c>
      <c r="I49" s="233"/>
      <c r="J49" s="233"/>
      <c r="K49" s="233"/>
      <c r="L49" s="233"/>
      <c r="M49" s="233"/>
      <c r="O49" s="216"/>
      <c r="P49" s="216"/>
      <c r="Q49" s="216"/>
      <c r="R49" s="216"/>
      <c r="S49" s="216">
        <f>SUM(Q48:R49)</f>
        <v>0</v>
      </c>
      <c r="U49" s="199"/>
      <c r="V49" s="199"/>
      <c r="W49" s="199">
        <v>-30597.92</v>
      </c>
      <c r="X49" s="199"/>
      <c r="Y49" s="199">
        <f>SUM(W49:X49)</f>
        <v>-30597.92</v>
      </c>
      <c r="AA49" s="181"/>
      <c r="AB49" s="181"/>
      <c r="AC49" s="181"/>
      <c r="AD49" s="181"/>
      <c r="AE49" s="181">
        <f>SUM(AC49:AD49)</f>
        <v>0</v>
      </c>
      <c r="AG49" s="163"/>
      <c r="AH49" s="163"/>
      <c r="AI49" s="163"/>
      <c r="AJ49" s="163">
        <v>-32111.11</v>
      </c>
      <c r="AK49" s="163">
        <f>SUM(AI49:AJ49)</f>
        <v>-32111.11</v>
      </c>
      <c r="AM49" s="107">
        <v>0</v>
      </c>
      <c r="AN49" s="107">
        <v>0</v>
      </c>
      <c r="AO49" s="107">
        <f>SUM(AM49:AN49)</f>
        <v>0</v>
      </c>
      <c r="AP49" s="107">
        <v>0</v>
      </c>
      <c r="AQ49" s="107">
        <v>0</v>
      </c>
      <c r="AR49" s="107">
        <f>SUM(AP49:AQ49)</f>
        <v>0</v>
      </c>
      <c r="AT49" s="279" t="e">
        <f>+#REF!+I49+O49+U49+AA49+AG49+AM49</f>
        <v>#REF!</v>
      </c>
      <c r="AU49" s="279" t="e">
        <f>+A49+J49+P49+V49+AB49+AH49+AN49</f>
        <v>#VALUE!</v>
      </c>
      <c r="AV49" s="279">
        <f>+B49+K49+Q49+W49+AC49+AI49+AP49</f>
        <v>-30597.92</v>
      </c>
      <c r="AW49" s="279">
        <f>+C49+L49+R49+X49+AD49+AJ49+AQ49</f>
        <v>-32111.11</v>
      </c>
      <c r="AX49" s="279">
        <f>SUM(AV49:AW49)</f>
        <v>-62709.03</v>
      </c>
    </row>
    <row r="50" spans="1:54" ht="19.5" thickBot="1">
      <c r="A50" s="17" t="s">
        <v>110</v>
      </c>
      <c r="B50" s="265">
        <f>SUM(B48:B49)</f>
        <v>0</v>
      </c>
      <c r="C50" s="266">
        <f>SUM(C48:C49)</f>
        <v>0</v>
      </c>
      <c r="D50" s="265">
        <f>SUM(D48:D49)</f>
        <v>9829929.35</v>
      </c>
      <c r="E50" s="265">
        <f>SUM(E48:E49)</f>
        <v>94266.67</v>
      </c>
      <c r="F50" s="257">
        <f>SUM(F48:F49)</f>
        <v>0</v>
      </c>
      <c r="I50" s="241">
        <f>SUM(I48:I49)</f>
        <v>0</v>
      </c>
      <c r="J50" s="241"/>
      <c r="K50" s="241">
        <f>SUM(K48:K49)</f>
        <v>0</v>
      </c>
      <c r="L50" s="241"/>
      <c r="M50" s="241"/>
      <c r="O50" s="223">
        <f>SUM(O48:O49)</f>
        <v>0</v>
      </c>
      <c r="P50" s="223">
        <f>SUM(P48:P49)</f>
        <v>0</v>
      </c>
      <c r="Q50" s="223">
        <f>SUM(Q48:Q49)</f>
        <v>0</v>
      </c>
      <c r="R50" s="223">
        <f>SUM(R48:R49)</f>
        <v>0</v>
      </c>
      <c r="S50" s="223">
        <f>SUM(S48:S49)</f>
        <v>0</v>
      </c>
      <c r="U50" s="206">
        <f>SUM(U48:U49)</f>
        <v>0</v>
      </c>
      <c r="V50" s="206">
        <f>SUM(V48:V49)</f>
        <v>0</v>
      </c>
      <c r="W50" s="206">
        <f>SUM(W48:W49)</f>
        <v>122412.08</v>
      </c>
      <c r="X50" s="206">
        <f>SUM(X48:X49)</f>
        <v>0</v>
      </c>
      <c r="Y50" s="206">
        <f>SUM(Y48:Y49)</f>
        <v>122412.08</v>
      </c>
      <c r="AA50" s="188">
        <f>SUM(AA48:AA49)</f>
        <v>0</v>
      </c>
      <c r="AB50" s="188">
        <f>SUM(AB48:AB49)</f>
        <v>0</v>
      </c>
      <c r="AC50" s="188">
        <f>SUM(AC48:AC49)</f>
        <v>0</v>
      </c>
      <c r="AD50" s="188">
        <f>SUM(AD48:AD49)</f>
        <v>0</v>
      </c>
      <c r="AE50" s="188">
        <f>SUM(AE48:AE49)</f>
        <v>0</v>
      </c>
      <c r="AG50" s="170">
        <f>SUM(AG48:AG49)</f>
        <v>0</v>
      </c>
      <c r="AH50" s="170">
        <f>SUM(AH48:AH49)</f>
        <v>0</v>
      </c>
      <c r="AI50" s="170">
        <f>SUM(AI48:AI49)</f>
        <v>0</v>
      </c>
      <c r="AJ50" s="170">
        <f>SUM(AJ48:AJ49)</f>
        <v>27888.89</v>
      </c>
      <c r="AK50" s="170">
        <f>SUM(AK48:AK49)</f>
        <v>27888.89</v>
      </c>
      <c r="AM50" s="304">
        <f aca="true" t="shared" si="14" ref="AM50:AR50">SUM(AM48:AM49)</f>
        <v>0</v>
      </c>
      <c r="AN50" s="304">
        <f t="shared" si="14"/>
        <v>0</v>
      </c>
      <c r="AO50" s="304">
        <f t="shared" si="14"/>
        <v>0</v>
      </c>
      <c r="AP50" s="304">
        <f t="shared" si="14"/>
        <v>0</v>
      </c>
      <c r="AQ50" s="304">
        <f t="shared" si="14"/>
        <v>0</v>
      </c>
      <c r="AR50" s="304">
        <f t="shared" si="14"/>
        <v>0</v>
      </c>
      <c r="AT50" s="281" t="e">
        <f>SUM(AT48:AT49)</f>
        <v>#REF!</v>
      </c>
      <c r="AU50" s="281" t="e">
        <f>SUM(AU48:AU49)</f>
        <v>#VALUE!</v>
      </c>
      <c r="AV50" s="281">
        <f>SUM(AV48:AV49)</f>
        <v>122412.08</v>
      </c>
      <c r="AW50" s="281">
        <f>SUM(AW48:AW49)</f>
        <v>27888.89</v>
      </c>
      <c r="AX50" s="281">
        <f>SUM(AX48:AX49)</f>
        <v>150300.97</v>
      </c>
      <c r="BB50" s="50">
        <v>18871327.43</v>
      </c>
    </row>
    <row r="51" ht="19.5" thickTop="1"/>
    <row r="52" spans="1:50" ht="18.75">
      <c r="A52" s="51" t="s">
        <v>461</v>
      </c>
      <c r="B52" s="248" t="s">
        <v>56</v>
      </c>
      <c r="C52" s="249" t="s">
        <v>57</v>
      </c>
      <c r="D52" s="248" t="s">
        <v>56</v>
      </c>
      <c r="E52" s="248" t="s">
        <v>57</v>
      </c>
      <c r="F52" s="250"/>
      <c r="G52" s="97"/>
      <c r="I52" s="232" t="s">
        <v>56</v>
      </c>
      <c r="J52" s="232" t="s">
        <v>57</v>
      </c>
      <c r="K52" s="232" t="s">
        <v>56</v>
      </c>
      <c r="L52" s="232" t="s">
        <v>57</v>
      </c>
      <c r="M52" s="232" t="s">
        <v>101</v>
      </c>
      <c r="O52" s="215" t="s">
        <v>56</v>
      </c>
      <c r="P52" s="215" t="s">
        <v>57</v>
      </c>
      <c r="Q52" s="215" t="s">
        <v>56</v>
      </c>
      <c r="R52" s="215" t="s">
        <v>57</v>
      </c>
      <c r="S52" s="215" t="s">
        <v>101</v>
      </c>
      <c r="U52" s="198" t="s">
        <v>56</v>
      </c>
      <c r="V52" s="198" t="s">
        <v>57</v>
      </c>
      <c r="W52" s="198" t="s">
        <v>56</v>
      </c>
      <c r="X52" s="198" t="s">
        <v>57</v>
      </c>
      <c r="Y52" s="198" t="s">
        <v>101</v>
      </c>
      <c r="AA52" s="180" t="s">
        <v>56</v>
      </c>
      <c r="AB52" s="180" t="s">
        <v>57</v>
      </c>
      <c r="AC52" s="180" t="s">
        <v>56</v>
      </c>
      <c r="AD52" s="180" t="s">
        <v>57</v>
      </c>
      <c r="AE52" s="180" t="s">
        <v>101</v>
      </c>
      <c r="AF52" s="97"/>
      <c r="AG52" s="162" t="s">
        <v>56</v>
      </c>
      <c r="AH52" s="162" t="s">
        <v>57</v>
      </c>
      <c r="AI52" s="162" t="s">
        <v>56</v>
      </c>
      <c r="AJ52" s="162" t="s">
        <v>57</v>
      </c>
      <c r="AK52" s="162" t="s">
        <v>101</v>
      </c>
      <c r="AM52" s="18" t="s">
        <v>56</v>
      </c>
      <c r="AN52" s="18" t="s">
        <v>57</v>
      </c>
      <c r="AO52" s="18" t="s">
        <v>101</v>
      </c>
      <c r="AP52" s="18" t="s">
        <v>56</v>
      </c>
      <c r="AQ52" s="18" t="s">
        <v>57</v>
      </c>
      <c r="AR52" s="18" t="s">
        <v>101</v>
      </c>
      <c r="AT52" s="278" t="s">
        <v>56</v>
      </c>
      <c r="AU52" s="278" t="s">
        <v>57</v>
      </c>
      <c r="AV52" s="278" t="s">
        <v>56</v>
      </c>
      <c r="AW52" s="278" t="s">
        <v>57</v>
      </c>
      <c r="AX52" s="278" t="s">
        <v>101</v>
      </c>
    </row>
    <row r="53" spans="1:50" ht="18.75">
      <c r="A53" s="43" t="s">
        <v>111</v>
      </c>
      <c r="B53" s="251"/>
      <c r="C53" s="252"/>
      <c r="D53" s="251">
        <f>17861358.71+5111216.57</f>
        <v>22972575.28</v>
      </c>
      <c r="E53" s="251">
        <v>3745141.41</v>
      </c>
      <c r="F53" s="247">
        <f>SUM(B53:C53)</f>
        <v>0</v>
      </c>
      <c r="I53" s="233"/>
      <c r="J53" s="233"/>
      <c r="K53" s="233"/>
      <c r="L53" s="233"/>
      <c r="M53" s="233"/>
      <c r="O53" s="216"/>
      <c r="P53" s="216"/>
      <c r="Q53" s="216"/>
      <c r="R53" s="216"/>
      <c r="S53" s="216">
        <f>SUM(Q53:R53)</f>
        <v>0</v>
      </c>
      <c r="U53" s="199"/>
      <c r="V53" s="199"/>
      <c r="W53" s="199"/>
      <c r="X53" s="199">
        <v>53738.33</v>
      </c>
      <c r="Y53" s="199">
        <f>SUM(W53:X53)</f>
        <v>53738.33</v>
      </c>
      <c r="AA53" s="181"/>
      <c r="AB53" s="181"/>
      <c r="AC53" s="181">
        <v>606545.75</v>
      </c>
      <c r="AD53" s="181"/>
      <c r="AE53" s="181">
        <f>SUM(AC53:AD53)</f>
        <v>606545.75</v>
      </c>
      <c r="AG53" s="163"/>
      <c r="AH53" s="163"/>
      <c r="AI53" s="163">
        <v>537</v>
      </c>
      <c r="AJ53" s="163"/>
      <c r="AK53" s="163">
        <f>SUM(AI53:AJ53)</f>
        <v>537</v>
      </c>
      <c r="AM53" s="107">
        <f>496396.99-AN53</f>
        <v>417056.49</v>
      </c>
      <c r="AN53" s="107">
        <v>79340.5</v>
      </c>
      <c r="AO53" s="107">
        <f>SUM(AM53:AN53)</f>
        <v>496396.99</v>
      </c>
      <c r="AP53" s="107">
        <v>300518.84</v>
      </c>
      <c r="AQ53" s="107">
        <v>174600</v>
      </c>
      <c r="AR53" s="107">
        <f>SUM(AP53:AQ53)</f>
        <v>475118.84</v>
      </c>
      <c r="AT53" s="279" t="e">
        <f>+#REF!+I53+O53+U53+AA53+AG53+AM53</f>
        <v>#REF!</v>
      </c>
      <c r="AU53" s="279" t="e">
        <f>+A53+J53+P53+V53+AB53+AH53+AN53</f>
        <v>#VALUE!</v>
      </c>
      <c r="AV53" s="279">
        <f aca="true" t="shared" si="15" ref="AV53:AW56">+B53+K53+Q53+W53+AC53+AI53+AP53</f>
        <v>907601.5900000001</v>
      </c>
      <c r="AW53" s="279">
        <f t="shared" si="15"/>
        <v>228338.33000000002</v>
      </c>
      <c r="AX53" s="279">
        <f>SUM(AV53:AW53)</f>
        <v>1135939.9200000002</v>
      </c>
    </row>
    <row r="54" spans="1:52" ht="18.75">
      <c r="A54" s="43" t="s">
        <v>261</v>
      </c>
      <c r="B54" s="251"/>
      <c r="D54" s="251">
        <f>991500+8566949.43</f>
        <v>9558449.43</v>
      </c>
      <c r="E54" s="289">
        <v>0</v>
      </c>
      <c r="F54" s="247">
        <f>SUM(B54:C54)</f>
        <v>0</v>
      </c>
      <c r="I54" s="233"/>
      <c r="J54" s="233"/>
      <c r="K54" s="233"/>
      <c r="L54" s="233"/>
      <c r="M54" s="233"/>
      <c r="O54" s="216"/>
      <c r="P54" s="216"/>
      <c r="Q54" s="216"/>
      <c r="R54" s="216"/>
      <c r="S54" s="216">
        <f>SUM(Q54:R54)</f>
        <v>0</v>
      </c>
      <c r="U54" s="199"/>
      <c r="V54" s="199"/>
      <c r="W54" s="199"/>
      <c r="X54" s="199"/>
      <c r="Y54" s="199">
        <f>SUM(W54:X54)</f>
        <v>0</v>
      </c>
      <c r="AA54" s="181"/>
      <c r="AB54" s="181"/>
      <c r="AC54" s="181"/>
      <c r="AD54" s="181"/>
      <c r="AE54" s="181">
        <f>SUM(AC54:AD54)</f>
        <v>0</v>
      </c>
      <c r="AG54" s="163"/>
      <c r="AH54" s="163"/>
      <c r="AI54" s="163"/>
      <c r="AJ54" s="163"/>
      <c r="AK54" s="163">
        <f>SUM(AI54:AJ54)</f>
        <v>0</v>
      </c>
      <c r="AM54" s="107">
        <v>0</v>
      </c>
      <c r="AN54" s="107">
        <v>0</v>
      </c>
      <c r="AO54" s="107">
        <f>SUM(AM54:AN54)</f>
        <v>0</v>
      </c>
      <c r="AP54" s="107">
        <v>0</v>
      </c>
      <c r="AQ54" s="107">
        <v>15840</v>
      </c>
      <c r="AR54" s="107">
        <f>SUM(AP54:AQ54)</f>
        <v>15840</v>
      </c>
      <c r="AT54" s="279" t="e">
        <f>+#REF!+I54+O54+U54+AA54+AG54+AM54</f>
        <v>#REF!</v>
      </c>
      <c r="AU54" s="279" t="e">
        <f>+A54+J54+P54+V54+AB54+AH54+AN54</f>
        <v>#VALUE!</v>
      </c>
      <c r="AV54" s="279">
        <f t="shared" si="15"/>
        <v>0</v>
      </c>
      <c r="AW54" s="279">
        <f t="shared" si="15"/>
        <v>15840</v>
      </c>
      <c r="AX54" s="279">
        <f>SUM(AV54:AW54)</f>
        <v>15840</v>
      </c>
      <c r="AY54" s="50">
        <f>SUM(C53:C63)</f>
        <v>0</v>
      </c>
      <c r="AZ54" s="137" t="s">
        <v>404</v>
      </c>
    </row>
    <row r="55" spans="1:50" ht="18.75">
      <c r="A55" s="43" t="s">
        <v>262</v>
      </c>
      <c r="B55" s="251"/>
      <c r="C55" s="252"/>
      <c r="D55" s="251">
        <v>2069845.36</v>
      </c>
      <c r="E55" s="251">
        <v>0</v>
      </c>
      <c r="F55" s="247">
        <f>SUM(B55:C55)</f>
        <v>0</v>
      </c>
      <c r="I55" s="233"/>
      <c r="J55" s="233"/>
      <c r="K55" s="233"/>
      <c r="L55" s="233"/>
      <c r="M55" s="233"/>
      <c r="O55" s="216"/>
      <c r="P55" s="216"/>
      <c r="Q55" s="216"/>
      <c r="R55" s="216"/>
      <c r="S55" s="216">
        <f>SUM(Q55:R55)</f>
        <v>0</v>
      </c>
      <c r="U55" s="199"/>
      <c r="V55" s="199"/>
      <c r="W55" s="199">
        <f>458631.72+65321.97</f>
        <v>523953.68999999994</v>
      </c>
      <c r="X55" s="199">
        <v>152000</v>
      </c>
      <c r="Y55" s="199">
        <f>SUM(W55:X55)</f>
        <v>675953.69</v>
      </c>
      <c r="AA55" s="181"/>
      <c r="AB55" s="181"/>
      <c r="AC55" s="181">
        <v>1310966.73</v>
      </c>
      <c r="AD55" s="181"/>
      <c r="AE55" s="181">
        <f>SUM(AC55:AD55)</f>
        <v>1310966.73</v>
      </c>
      <c r="AG55" s="163"/>
      <c r="AH55" s="163"/>
      <c r="AI55" s="163">
        <v>1640086.49</v>
      </c>
      <c r="AJ55" s="163"/>
      <c r="AK55" s="163">
        <f>SUM(AI55:AJ55)</f>
        <v>1640086.49</v>
      </c>
      <c r="AM55" s="107">
        <v>440402.2</v>
      </c>
      <c r="AN55" s="107">
        <v>0</v>
      </c>
      <c r="AO55" s="107">
        <f>SUM(AM55:AN55)</f>
        <v>440402.2</v>
      </c>
      <c r="AP55" s="107">
        <v>459988.18</v>
      </c>
      <c r="AQ55" s="107">
        <v>396110.83</v>
      </c>
      <c r="AR55" s="107">
        <f>SUM(AP55:AQ55)</f>
        <v>856099.01</v>
      </c>
      <c r="AT55" s="279" t="e">
        <f>+#REF!+I55+O55+U55+AA55+AG55+AM55</f>
        <v>#REF!</v>
      </c>
      <c r="AU55" s="279" t="e">
        <f>+A55+J55+P55+V55+AB55+AH55+AN55</f>
        <v>#VALUE!</v>
      </c>
      <c r="AV55" s="279">
        <f t="shared" si="15"/>
        <v>3934995.0900000003</v>
      </c>
      <c r="AW55" s="279">
        <f t="shared" si="15"/>
        <v>548110.8300000001</v>
      </c>
      <c r="AX55" s="279">
        <f>SUM(AV55:AW55)</f>
        <v>4483105.92</v>
      </c>
    </row>
    <row r="56" spans="1:51" ht="18.75">
      <c r="A56" s="43" t="s">
        <v>357</v>
      </c>
      <c r="B56" s="251"/>
      <c r="C56" s="252"/>
      <c r="D56" s="251">
        <v>0</v>
      </c>
      <c r="E56" s="251">
        <f>22073124.63-13944697.4</f>
        <v>8128427.229999999</v>
      </c>
      <c r="F56" s="247">
        <f>SUM(B56:C56)</f>
        <v>0</v>
      </c>
      <c r="I56" s="233"/>
      <c r="J56" s="233"/>
      <c r="K56" s="233"/>
      <c r="L56" s="233"/>
      <c r="M56" s="233"/>
      <c r="O56" s="216"/>
      <c r="P56" s="216"/>
      <c r="Q56" s="216"/>
      <c r="R56" s="216"/>
      <c r="S56" s="216"/>
      <c r="U56" s="199"/>
      <c r="V56" s="199"/>
      <c r="W56" s="199"/>
      <c r="X56" s="199">
        <v>2300000</v>
      </c>
      <c r="Y56" s="199"/>
      <c r="AA56" s="181"/>
      <c r="AB56" s="181"/>
      <c r="AC56" s="181"/>
      <c r="AD56" s="181"/>
      <c r="AE56" s="181"/>
      <c r="AG56" s="163"/>
      <c r="AH56" s="163"/>
      <c r="AI56" s="163"/>
      <c r="AJ56" s="163"/>
      <c r="AK56" s="163">
        <f>SUM(AI56:AJ56)</f>
        <v>0</v>
      </c>
      <c r="AM56" s="107">
        <v>0</v>
      </c>
      <c r="AN56" s="107">
        <v>1233750</v>
      </c>
      <c r="AO56" s="107">
        <f>SUM(AM56:AN56)</f>
        <v>1233750</v>
      </c>
      <c r="AP56" s="107">
        <v>0</v>
      </c>
      <c r="AQ56" s="107">
        <v>1433950</v>
      </c>
      <c r="AR56" s="107">
        <f>SUM(AP56:AQ56)</f>
        <v>1433950</v>
      </c>
      <c r="AT56" s="279" t="e">
        <f>+#REF!+I56+O56+U56+AA56+AG56+AM56</f>
        <v>#REF!</v>
      </c>
      <c r="AU56" s="279" t="e">
        <f>+A56+J56+P56+V56+AB56+AH56+AN56</f>
        <v>#VALUE!</v>
      </c>
      <c r="AV56" s="279">
        <f t="shared" si="15"/>
        <v>0</v>
      </c>
      <c r="AW56" s="279">
        <f t="shared" si="15"/>
        <v>3733950</v>
      </c>
      <c r="AX56" s="279">
        <f>SUM(AV56:AW56)</f>
        <v>3733950</v>
      </c>
      <c r="AY56" s="50" t="s">
        <v>402</v>
      </c>
    </row>
    <row r="57" spans="1:60" s="17" customFormat="1" ht="19.5" thickBot="1">
      <c r="A57" s="17" t="s">
        <v>113</v>
      </c>
      <c r="B57" s="255">
        <f>SUM(B53:B56)</f>
        <v>0</v>
      </c>
      <c r="C57" s="256">
        <f>SUM(C53:C56)</f>
        <v>0</v>
      </c>
      <c r="D57" s="255">
        <f>SUM(D53:D56)</f>
        <v>34600870.07</v>
      </c>
      <c r="E57" s="255">
        <f>SUM(E53:E56)</f>
        <v>11873568.639999999</v>
      </c>
      <c r="F57" s="257">
        <f>SUM(F53:F56)</f>
        <v>0</v>
      </c>
      <c r="G57" s="106"/>
      <c r="H57" s="144"/>
      <c r="I57" s="236">
        <f>SUM(I53:I56)</f>
        <v>0</v>
      </c>
      <c r="J57" s="236">
        <f>SUM(J53:J56)</f>
        <v>0</v>
      </c>
      <c r="K57" s="236">
        <f>SUM(K53:K56)</f>
        <v>0</v>
      </c>
      <c r="L57" s="236">
        <f>SUM(L53:L56)</f>
        <v>0</v>
      </c>
      <c r="M57" s="236">
        <f>SUM(M53:M56)</f>
        <v>0</v>
      </c>
      <c r="N57" s="91"/>
      <c r="O57" s="218">
        <f>SUM(O53:O56)</f>
        <v>0</v>
      </c>
      <c r="P57" s="218">
        <f>SUM(P53:P56)</f>
        <v>0</v>
      </c>
      <c r="Q57" s="218">
        <f>SUM(Q53:Q56)</f>
        <v>0</v>
      </c>
      <c r="R57" s="218">
        <f>SUM(R53:R56)</f>
        <v>0</v>
      </c>
      <c r="S57" s="218">
        <f>SUM(S53:S56)</f>
        <v>0</v>
      </c>
      <c r="T57" s="91"/>
      <c r="U57" s="201">
        <f>SUM(U53:U56)</f>
        <v>0</v>
      </c>
      <c r="V57" s="201">
        <f>SUM(V53:V56)</f>
        <v>0</v>
      </c>
      <c r="W57" s="201">
        <f>SUM(W53:W56)</f>
        <v>523953.68999999994</v>
      </c>
      <c r="X57" s="201">
        <f>SUM(X53:X56)</f>
        <v>2505738.33</v>
      </c>
      <c r="Y57" s="201">
        <f>SUM(Y53:Y56)</f>
        <v>729692.0199999999</v>
      </c>
      <c r="Z57" s="91"/>
      <c r="AA57" s="183">
        <f>SUM(AA53:AA56)</f>
        <v>0</v>
      </c>
      <c r="AB57" s="183">
        <f>SUM(AB53:AB56)</f>
        <v>0</v>
      </c>
      <c r="AC57" s="183">
        <f>SUM(AC53:AC56)</f>
        <v>1917512.48</v>
      </c>
      <c r="AD57" s="183">
        <f>SUM(AD53:AD56)</f>
        <v>0</v>
      </c>
      <c r="AE57" s="183">
        <f>SUM(AE53:AE56)</f>
        <v>1917512.48</v>
      </c>
      <c r="AF57" s="106"/>
      <c r="AG57" s="165">
        <f>SUM(AG53:AG56)</f>
        <v>0</v>
      </c>
      <c r="AH57" s="165">
        <f>SUM(AH53:AH56)</f>
        <v>0</v>
      </c>
      <c r="AI57" s="165">
        <f>SUM(AI53:AI56)</f>
        <v>1640623.49</v>
      </c>
      <c r="AJ57" s="165">
        <f>SUM(AJ53:AJ56)</f>
        <v>0</v>
      </c>
      <c r="AK57" s="165">
        <f>SUM(AK53:AK56)</f>
        <v>1640623.49</v>
      </c>
      <c r="AL57" s="91"/>
      <c r="AM57" s="300">
        <f aca="true" t="shared" si="16" ref="AM57:AR57">SUM(AM53:AM56)</f>
        <v>857458.69</v>
      </c>
      <c r="AN57" s="300">
        <f t="shared" si="16"/>
        <v>1313090.5</v>
      </c>
      <c r="AO57" s="300">
        <f t="shared" si="16"/>
        <v>2170549.19</v>
      </c>
      <c r="AP57" s="300">
        <f t="shared" si="16"/>
        <v>760507.02</v>
      </c>
      <c r="AQ57" s="300">
        <f t="shared" si="16"/>
        <v>2020500.83</v>
      </c>
      <c r="AR57" s="300">
        <f t="shared" si="16"/>
        <v>2781007.85</v>
      </c>
      <c r="AS57" s="91"/>
      <c r="AT57" s="281" t="e">
        <f>SUM(AT53:AT56)</f>
        <v>#REF!</v>
      </c>
      <c r="AU57" s="281" t="e">
        <f>SUM(AU53:AU56)</f>
        <v>#VALUE!</v>
      </c>
      <c r="AV57" s="281">
        <f>SUM(AV53:AV56)</f>
        <v>4842596.680000001</v>
      </c>
      <c r="AW57" s="281">
        <f>SUM(AW53:AW56)</f>
        <v>4526239.16</v>
      </c>
      <c r="AX57" s="281">
        <f>SUM(AX53:AX56)</f>
        <v>9368835.84</v>
      </c>
      <c r="AY57" s="91"/>
      <c r="AZ57" s="144"/>
      <c r="BA57" s="91"/>
      <c r="BB57" s="91"/>
      <c r="BC57" s="91"/>
      <c r="BD57" s="91"/>
      <c r="BE57" s="91"/>
      <c r="BF57" s="91"/>
      <c r="BG57" s="91"/>
      <c r="BH57" s="91"/>
    </row>
    <row r="58" spans="2:60" s="17" customFormat="1" ht="19.5" thickTop="1">
      <c r="B58" s="247"/>
      <c r="C58" s="247"/>
      <c r="D58" s="247"/>
      <c r="E58" s="247"/>
      <c r="F58" s="247"/>
      <c r="G58" s="106"/>
      <c r="H58" s="144"/>
      <c r="I58" s="231"/>
      <c r="J58" s="231"/>
      <c r="K58" s="231"/>
      <c r="L58" s="231"/>
      <c r="M58" s="231"/>
      <c r="N58" s="91"/>
      <c r="O58" s="214"/>
      <c r="P58" s="214"/>
      <c r="Q58" s="214"/>
      <c r="R58" s="214"/>
      <c r="S58" s="214"/>
      <c r="T58" s="91"/>
      <c r="U58" s="197"/>
      <c r="V58" s="197"/>
      <c r="W58" s="197"/>
      <c r="X58" s="197"/>
      <c r="Y58" s="197"/>
      <c r="Z58" s="91"/>
      <c r="AA58" s="179"/>
      <c r="AB58" s="179"/>
      <c r="AC58" s="179"/>
      <c r="AD58" s="179"/>
      <c r="AE58" s="179"/>
      <c r="AF58" s="106"/>
      <c r="AG58" s="161"/>
      <c r="AH58" s="161"/>
      <c r="AI58" s="161"/>
      <c r="AJ58" s="161"/>
      <c r="AK58" s="161"/>
      <c r="AL58" s="91"/>
      <c r="AM58" s="106"/>
      <c r="AN58" s="106"/>
      <c r="AO58" s="106"/>
      <c r="AP58" s="106"/>
      <c r="AQ58" s="106"/>
      <c r="AR58" s="106"/>
      <c r="AS58" s="91"/>
      <c r="AT58" s="277"/>
      <c r="AU58" s="277"/>
      <c r="AV58" s="277"/>
      <c r="AW58" s="277"/>
      <c r="AX58" s="277"/>
      <c r="AY58" s="91"/>
      <c r="AZ58" s="144"/>
      <c r="BA58" s="91"/>
      <c r="BB58" s="91"/>
      <c r="BC58" s="91"/>
      <c r="BD58" s="91"/>
      <c r="BE58" s="91"/>
      <c r="BF58" s="91"/>
      <c r="BG58" s="91"/>
      <c r="BH58" s="91"/>
    </row>
    <row r="59" spans="2:60" s="17" customFormat="1" ht="18.75">
      <c r="B59" s="247"/>
      <c r="C59" s="247"/>
      <c r="D59" s="247"/>
      <c r="E59" s="247"/>
      <c r="F59" s="247"/>
      <c r="G59" s="106"/>
      <c r="H59" s="144"/>
      <c r="I59" s="231"/>
      <c r="J59" s="231"/>
      <c r="K59" s="231"/>
      <c r="L59" s="231"/>
      <c r="M59" s="231"/>
      <c r="N59" s="91"/>
      <c r="O59" s="214"/>
      <c r="P59" s="214"/>
      <c r="Q59" s="214"/>
      <c r="R59" s="214"/>
      <c r="S59" s="214"/>
      <c r="T59" s="91"/>
      <c r="U59" s="197"/>
      <c r="V59" s="197"/>
      <c r="W59" s="197"/>
      <c r="X59" s="197"/>
      <c r="Y59" s="197"/>
      <c r="Z59" s="91"/>
      <c r="AA59" s="179"/>
      <c r="AB59" s="179"/>
      <c r="AC59" s="179"/>
      <c r="AD59" s="179"/>
      <c r="AE59" s="179"/>
      <c r="AF59" s="106"/>
      <c r="AG59" s="161"/>
      <c r="AH59" s="161"/>
      <c r="AI59" s="161"/>
      <c r="AJ59" s="161"/>
      <c r="AK59" s="161"/>
      <c r="AL59" s="91"/>
      <c r="AM59" s="106"/>
      <c r="AN59" s="106"/>
      <c r="AO59" s="106"/>
      <c r="AP59" s="106"/>
      <c r="AQ59" s="106"/>
      <c r="AR59" s="106"/>
      <c r="AS59" s="91"/>
      <c r="AT59" s="277"/>
      <c r="AU59" s="277"/>
      <c r="AV59" s="277"/>
      <c r="AW59" s="277"/>
      <c r="AX59" s="277"/>
      <c r="AY59" s="91"/>
      <c r="AZ59" s="144"/>
      <c r="BA59" s="91"/>
      <c r="BB59" s="91"/>
      <c r="BC59" s="91"/>
      <c r="BD59" s="91"/>
      <c r="BE59" s="91"/>
      <c r="BF59" s="91"/>
      <c r="BG59" s="91"/>
      <c r="BH59" s="91"/>
    </row>
    <row r="60" spans="2:60" s="17" customFormat="1" ht="18.75">
      <c r="B60" s="247"/>
      <c r="C60" s="247"/>
      <c r="D60" s="247"/>
      <c r="E60" s="247"/>
      <c r="F60" s="247"/>
      <c r="G60" s="106"/>
      <c r="H60" s="144"/>
      <c r="I60" s="231"/>
      <c r="J60" s="231"/>
      <c r="K60" s="231"/>
      <c r="L60" s="231"/>
      <c r="M60" s="231"/>
      <c r="N60" s="91"/>
      <c r="O60" s="214"/>
      <c r="P60" s="214"/>
      <c r="Q60" s="214"/>
      <c r="R60" s="214"/>
      <c r="S60" s="214"/>
      <c r="T60" s="91"/>
      <c r="U60" s="197"/>
      <c r="V60" s="197"/>
      <c r="W60" s="197"/>
      <c r="X60" s="197"/>
      <c r="Y60" s="197"/>
      <c r="Z60" s="91"/>
      <c r="AA60" s="179"/>
      <c r="AB60" s="179"/>
      <c r="AC60" s="179"/>
      <c r="AD60" s="179"/>
      <c r="AE60" s="179"/>
      <c r="AF60" s="106"/>
      <c r="AG60" s="161"/>
      <c r="AH60" s="161"/>
      <c r="AI60" s="161"/>
      <c r="AJ60" s="161"/>
      <c r="AK60" s="161"/>
      <c r="AL60" s="91"/>
      <c r="AM60" s="106"/>
      <c r="AN60" s="106"/>
      <c r="AO60" s="106"/>
      <c r="AP60" s="106"/>
      <c r="AQ60" s="106"/>
      <c r="AR60" s="106"/>
      <c r="AS60" s="91"/>
      <c r="AT60" s="277"/>
      <c r="AU60" s="277"/>
      <c r="AV60" s="277"/>
      <c r="AW60" s="277"/>
      <c r="AX60" s="277"/>
      <c r="AY60" s="91"/>
      <c r="AZ60" s="144"/>
      <c r="BA60" s="91"/>
      <c r="BB60" s="91"/>
      <c r="BC60" s="91"/>
      <c r="BD60" s="91"/>
      <c r="BE60" s="91"/>
      <c r="BF60" s="91"/>
      <c r="BG60" s="91"/>
      <c r="BH60" s="91"/>
    </row>
    <row r="61" spans="1:50" ht="18.75">
      <c r="A61" s="51" t="s">
        <v>462</v>
      </c>
      <c r="B61" s="248" t="s">
        <v>56</v>
      </c>
      <c r="C61" s="249" t="s">
        <v>57</v>
      </c>
      <c r="D61" s="248" t="s">
        <v>56</v>
      </c>
      <c r="E61" s="248" t="s">
        <v>57</v>
      </c>
      <c r="F61" s="250"/>
      <c r="G61" s="97"/>
      <c r="I61" s="232" t="s">
        <v>56</v>
      </c>
      <c r="J61" s="232" t="s">
        <v>57</v>
      </c>
      <c r="K61" s="232" t="s">
        <v>56</v>
      </c>
      <c r="L61" s="232" t="s">
        <v>57</v>
      </c>
      <c r="M61" s="232" t="s">
        <v>101</v>
      </c>
      <c r="O61" s="215" t="s">
        <v>56</v>
      </c>
      <c r="P61" s="215" t="s">
        <v>57</v>
      </c>
      <c r="Q61" s="215" t="s">
        <v>56</v>
      </c>
      <c r="R61" s="215" t="s">
        <v>57</v>
      </c>
      <c r="S61" s="215" t="s">
        <v>101</v>
      </c>
      <c r="U61" s="198" t="s">
        <v>56</v>
      </c>
      <c r="V61" s="198" t="s">
        <v>57</v>
      </c>
      <c r="W61" s="198" t="s">
        <v>56</v>
      </c>
      <c r="X61" s="198" t="s">
        <v>57</v>
      </c>
      <c r="Y61" s="198" t="s">
        <v>101</v>
      </c>
      <c r="AA61" s="180" t="s">
        <v>56</v>
      </c>
      <c r="AB61" s="180" t="s">
        <v>57</v>
      </c>
      <c r="AC61" s="180" t="s">
        <v>56</v>
      </c>
      <c r="AD61" s="180" t="s">
        <v>57</v>
      </c>
      <c r="AE61" s="180" t="s">
        <v>101</v>
      </c>
      <c r="AF61" s="97"/>
      <c r="AG61" s="162" t="s">
        <v>56</v>
      </c>
      <c r="AH61" s="162" t="s">
        <v>57</v>
      </c>
      <c r="AI61" s="162" t="s">
        <v>56</v>
      </c>
      <c r="AJ61" s="162" t="s">
        <v>57</v>
      </c>
      <c r="AK61" s="162" t="s">
        <v>101</v>
      </c>
      <c r="AM61" s="18" t="s">
        <v>56</v>
      </c>
      <c r="AN61" s="18" t="s">
        <v>57</v>
      </c>
      <c r="AO61" s="18" t="s">
        <v>101</v>
      </c>
      <c r="AP61" s="18" t="s">
        <v>56</v>
      </c>
      <c r="AQ61" s="18" t="s">
        <v>57</v>
      </c>
      <c r="AR61" s="18" t="s">
        <v>101</v>
      </c>
      <c r="AT61" s="278" t="s">
        <v>56</v>
      </c>
      <c r="AU61" s="278" t="s">
        <v>57</v>
      </c>
      <c r="AV61" s="278" t="s">
        <v>56</v>
      </c>
      <c r="AW61" s="278" t="s">
        <v>57</v>
      </c>
      <c r="AX61" s="278" t="s">
        <v>101</v>
      </c>
    </row>
    <row r="62" spans="1:50" ht="18.75">
      <c r="A62" s="43" t="s">
        <v>263</v>
      </c>
      <c r="B62" s="251"/>
      <c r="C62" s="252"/>
      <c r="D62" s="251">
        <v>2248127.73</v>
      </c>
      <c r="E62" s="251">
        <v>0</v>
      </c>
      <c r="F62" s="247">
        <f>SUM(B62:C62)</f>
        <v>0</v>
      </c>
      <c r="I62" s="233"/>
      <c r="J62" s="233"/>
      <c r="K62" s="233"/>
      <c r="L62" s="233">
        <v>3043</v>
      </c>
      <c r="M62" s="233">
        <f>K62+L62</f>
        <v>3043</v>
      </c>
      <c r="O62" s="216"/>
      <c r="P62" s="216"/>
      <c r="Q62" s="216">
        <v>178072.4</v>
      </c>
      <c r="R62" s="216"/>
      <c r="S62" s="216">
        <f>SUM(Q62:R62)</f>
        <v>178072.4</v>
      </c>
      <c r="U62" s="199"/>
      <c r="V62" s="199"/>
      <c r="W62" s="199"/>
      <c r="X62" s="199"/>
      <c r="Y62" s="199">
        <f>SUM(W62:X62)</f>
        <v>0</v>
      </c>
      <c r="AA62" s="181"/>
      <c r="AB62" s="181"/>
      <c r="AC62" s="181"/>
      <c r="AD62" s="181"/>
      <c r="AE62" s="181">
        <f>SUM(AC62:AD62)</f>
        <v>0</v>
      </c>
      <c r="AG62" s="163"/>
      <c r="AH62" s="163"/>
      <c r="AI62" s="163"/>
      <c r="AJ62" s="163"/>
      <c r="AK62" s="163">
        <f>SUM(AI62:AJ62)</f>
        <v>0</v>
      </c>
      <c r="AM62" s="107">
        <v>0</v>
      </c>
      <c r="AN62" s="107">
        <v>0</v>
      </c>
      <c r="AO62" s="107">
        <f>SUM(AM62:AN62)</f>
        <v>0</v>
      </c>
      <c r="AP62" s="107">
        <v>0</v>
      </c>
      <c r="AQ62" s="107">
        <v>0</v>
      </c>
      <c r="AR62" s="107">
        <f>SUM(AP62:AQ62)</f>
        <v>0</v>
      </c>
      <c r="AT62" s="279" t="e">
        <f>+#REF!+I62+O62+U62+AA62+AG62+AM62</f>
        <v>#REF!</v>
      </c>
      <c r="AU62" s="279" t="e">
        <f>+A62+J62+P62+V62+AB62+AH62+AN62</f>
        <v>#VALUE!</v>
      </c>
      <c r="AV62" s="279">
        <f>+B62+K62+Q62+W62+AC62+AI62+AP62</f>
        <v>178072.4</v>
      </c>
      <c r="AW62" s="279">
        <f>+C62+L62+R62+X62+AD62+AJ62+AQ62</f>
        <v>3043</v>
      </c>
      <c r="AX62" s="279">
        <f>SUM(AV62:AW62)</f>
        <v>181115.4</v>
      </c>
    </row>
    <row r="63" spans="1:52" ht="18.75">
      <c r="A63" s="43" t="s">
        <v>112</v>
      </c>
      <c r="B63" s="251"/>
      <c r="C63" s="252"/>
      <c r="D63" s="251">
        <f>60718082.34+2113567.73</f>
        <v>62831650.07</v>
      </c>
      <c r="E63" s="251">
        <v>8934428.98</v>
      </c>
      <c r="F63" s="247">
        <f>SUM(B63:C63)</f>
        <v>0</v>
      </c>
      <c r="I63" s="233"/>
      <c r="J63" s="233"/>
      <c r="K63" s="233"/>
      <c r="L63" s="233"/>
      <c r="M63" s="233"/>
      <c r="O63" s="216"/>
      <c r="P63" s="216"/>
      <c r="Q63" s="216"/>
      <c r="R63" s="216"/>
      <c r="S63" s="216">
        <f>SUM(Q63:R63)</f>
        <v>0</v>
      </c>
      <c r="U63" s="199"/>
      <c r="V63" s="199"/>
      <c r="W63" s="199">
        <v>2145</v>
      </c>
      <c r="X63" s="199"/>
      <c r="Y63" s="199">
        <f>SUM(W63:X63)</f>
        <v>2145</v>
      </c>
      <c r="AA63" s="181"/>
      <c r="AB63" s="181"/>
      <c r="AC63" s="181">
        <v>1168319</v>
      </c>
      <c r="AD63" s="181"/>
      <c r="AE63" s="181">
        <f>SUM(AC63:AD63)</f>
        <v>1168319</v>
      </c>
      <c r="AG63" s="163"/>
      <c r="AH63" s="163"/>
      <c r="AI63" s="163">
        <v>2454873.6</v>
      </c>
      <c r="AJ63" s="163"/>
      <c r="AK63" s="163">
        <f>SUM(AI63:AJ63)</f>
        <v>2454873.6</v>
      </c>
      <c r="AM63" s="107">
        <v>1480</v>
      </c>
      <c r="AN63" s="107">
        <v>0</v>
      </c>
      <c r="AO63" s="107">
        <f>SUM(AM63:AN63)</f>
        <v>1480</v>
      </c>
      <c r="AP63" s="107">
        <v>25770</v>
      </c>
      <c r="AQ63" s="107">
        <v>0</v>
      </c>
      <c r="AR63" s="107">
        <f>SUM(AP63:AQ63)</f>
        <v>25770</v>
      </c>
      <c r="AT63" s="279" t="e">
        <f>+#REF!+I63+O63+U63+AA63+AG63+AM63</f>
        <v>#REF!</v>
      </c>
      <c r="AU63" s="279" t="e">
        <f>+A63+J63+P63+V63+AB63+AH63+AN63</f>
        <v>#VALUE!</v>
      </c>
      <c r="AV63" s="279">
        <f>+B63+K63+Q63+W63+AC63+AI63+AP63</f>
        <v>3651107.6</v>
      </c>
      <c r="AW63" s="279">
        <f>+C63+L63+R63+X63+AD63+AJ63+AQ63</f>
        <v>0</v>
      </c>
      <c r="AX63" s="279">
        <f>SUM(AV63:AW63)</f>
        <v>3651107.6</v>
      </c>
      <c r="AY63" s="50">
        <v>71766079.05</v>
      </c>
      <c r="AZ63" s="137">
        <f>+AY63-B63</f>
        <v>71766079.05</v>
      </c>
    </row>
    <row r="64" spans="1:60" s="17" customFormat="1" ht="19.5" thickBot="1">
      <c r="A64" s="17" t="s">
        <v>264</v>
      </c>
      <c r="B64" s="255">
        <f>SUM(B62:B63)</f>
        <v>0</v>
      </c>
      <c r="C64" s="256">
        <f>SUM(C62:C63)</f>
        <v>0</v>
      </c>
      <c r="D64" s="255">
        <f>SUM(D62:D63)</f>
        <v>65079777.8</v>
      </c>
      <c r="E64" s="255">
        <f>SUM(E62:E63)</f>
        <v>8934428.98</v>
      </c>
      <c r="F64" s="257">
        <f>SUM(F62:F63)</f>
        <v>0</v>
      </c>
      <c r="G64" s="106"/>
      <c r="H64" s="144"/>
      <c r="I64" s="236">
        <f>SUM(I62:I63)</f>
        <v>0</v>
      </c>
      <c r="J64" s="236">
        <f>SUM(J62:J63)</f>
        <v>0</v>
      </c>
      <c r="K64" s="236">
        <f>SUM(K62:K63)</f>
        <v>0</v>
      </c>
      <c r="L64" s="236">
        <f>SUM(L62:L63)</f>
        <v>3043</v>
      </c>
      <c r="M64" s="236">
        <f>SUM(M62:M63)</f>
        <v>3043</v>
      </c>
      <c r="N64" s="91"/>
      <c r="O64" s="218">
        <f>SUM(O62:O63)</f>
        <v>0</v>
      </c>
      <c r="P64" s="218">
        <f>SUM(P62:P63)</f>
        <v>0</v>
      </c>
      <c r="Q64" s="218">
        <f>SUM(Q62:Q63)</f>
        <v>178072.4</v>
      </c>
      <c r="R64" s="218">
        <f>SUM(R62:R63)</f>
        <v>0</v>
      </c>
      <c r="S64" s="218">
        <f>SUM(S62:S63)</f>
        <v>178072.4</v>
      </c>
      <c r="T64" s="91"/>
      <c r="U64" s="201">
        <f>SUM(U62:U63)</f>
        <v>0</v>
      </c>
      <c r="V64" s="201">
        <f>SUM(V62:V63)</f>
        <v>0</v>
      </c>
      <c r="W64" s="201">
        <f>SUM(W62:W63)</f>
        <v>2145</v>
      </c>
      <c r="X64" s="201">
        <f>SUM(X62:X63)</f>
        <v>0</v>
      </c>
      <c r="Y64" s="201">
        <f>SUM(Y62:Y63)</f>
        <v>2145</v>
      </c>
      <c r="Z64" s="91"/>
      <c r="AA64" s="183">
        <f>SUM(AA62:AA63)</f>
        <v>0</v>
      </c>
      <c r="AB64" s="183">
        <f>SUM(AB62:AB63)</f>
        <v>0</v>
      </c>
      <c r="AC64" s="183">
        <f>SUM(AC62:AC63)</f>
        <v>1168319</v>
      </c>
      <c r="AD64" s="183">
        <f>SUM(AD62:AD63)</f>
        <v>0</v>
      </c>
      <c r="AE64" s="183">
        <f>SUM(AE62:AE63)</f>
        <v>1168319</v>
      </c>
      <c r="AF64" s="106"/>
      <c r="AG64" s="165">
        <f>SUM(AG62:AG63)</f>
        <v>0</v>
      </c>
      <c r="AH64" s="165">
        <f>SUM(AH62:AH63)</f>
        <v>0</v>
      </c>
      <c r="AI64" s="165">
        <f>SUM(AI62:AI63)</f>
        <v>2454873.6</v>
      </c>
      <c r="AJ64" s="165">
        <f>SUM(AJ62:AJ63)</f>
        <v>0</v>
      </c>
      <c r="AK64" s="165">
        <f>SUM(AK62:AK63)</f>
        <v>2454873.6</v>
      </c>
      <c r="AL64" s="91"/>
      <c r="AM64" s="300">
        <f aca="true" t="shared" si="17" ref="AM64:AR64">SUM(AM62:AM63)</f>
        <v>1480</v>
      </c>
      <c r="AN64" s="300">
        <f t="shared" si="17"/>
        <v>0</v>
      </c>
      <c r="AO64" s="300">
        <f t="shared" si="17"/>
        <v>1480</v>
      </c>
      <c r="AP64" s="300">
        <f t="shared" si="17"/>
        <v>25770</v>
      </c>
      <c r="AQ64" s="300">
        <f t="shared" si="17"/>
        <v>0</v>
      </c>
      <c r="AR64" s="300">
        <f t="shared" si="17"/>
        <v>25770</v>
      </c>
      <c r="AS64" s="91"/>
      <c r="AT64" s="281" t="e">
        <f>SUM(AT62:AT63)</f>
        <v>#REF!</v>
      </c>
      <c r="AU64" s="281" t="e">
        <f>SUM(AU62:AU63)</f>
        <v>#VALUE!</v>
      </c>
      <c r="AV64" s="281">
        <f>SUM(AV62:AV63)</f>
        <v>3829180</v>
      </c>
      <c r="AW64" s="281">
        <f>SUM(AW62:AW63)</f>
        <v>3043</v>
      </c>
      <c r="AX64" s="281">
        <f>SUM(AX62:AX63)</f>
        <v>3832223</v>
      </c>
      <c r="AY64" s="91"/>
      <c r="AZ64" s="144"/>
      <c r="BA64" s="91"/>
      <c r="BB64" s="91"/>
      <c r="BC64" s="91"/>
      <c r="BD64" s="91"/>
      <c r="BE64" s="91"/>
      <c r="BF64" s="91"/>
      <c r="BG64" s="91"/>
      <c r="BH64" s="91"/>
    </row>
    <row r="65" spans="2:60" s="17" customFormat="1" ht="19.5" thickTop="1">
      <c r="B65" s="247"/>
      <c r="C65" s="247"/>
      <c r="D65" s="247"/>
      <c r="E65" s="247"/>
      <c r="F65" s="247"/>
      <c r="G65" s="106"/>
      <c r="H65" s="144"/>
      <c r="I65" s="231"/>
      <c r="J65" s="231"/>
      <c r="K65" s="231"/>
      <c r="L65" s="231"/>
      <c r="M65" s="231"/>
      <c r="N65" s="91"/>
      <c r="O65" s="214"/>
      <c r="P65" s="214"/>
      <c r="Q65" s="214"/>
      <c r="R65" s="214"/>
      <c r="S65" s="214"/>
      <c r="T65" s="91"/>
      <c r="U65" s="197"/>
      <c r="V65" s="197"/>
      <c r="W65" s="197"/>
      <c r="X65" s="197"/>
      <c r="Y65" s="197"/>
      <c r="Z65" s="91"/>
      <c r="AA65" s="179"/>
      <c r="AB65" s="179"/>
      <c r="AC65" s="179"/>
      <c r="AD65" s="179"/>
      <c r="AE65" s="179"/>
      <c r="AF65" s="106"/>
      <c r="AG65" s="161"/>
      <c r="AH65" s="161"/>
      <c r="AI65" s="161"/>
      <c r="AJ65" s="161"/>
      <c r="AK65" s="161"/>
      <c r="AL65" s="91"/>
      <c r="AM65" s="106"/>
      <c r="AN65" s="106"/>
      <c r="AO65" s="106"/>
      <c r="AP65" s="106"/>
      <c r="AQ65" s="106"/>
      <c r="AR65" s="106"/>
      <c r="AS65" s="91"/>
      <c r="AT65" s="277"/>
      <c r="AU65" s="277"/>
      <c r="AV65" s="277"/>
      <c r="AW65" s="277"/>
      <c r="AX65" s="277"/>
      <c r="AY65" s="91"/>
      <c r="AZ65" s="144"/>
      <c r="BA65" s="91"/>
      <c r="BB65" s="91"/>
      <c r="BC65" s="91"/>
      <c r="BD65" s="91"/>
      <c r="BE65" s="91"/>
      <c r="BF65" s="91"/>
      <c r="BG65" s="91"/>
      <c r="BH65" s="91"/>
    </row>
    <row r="66" spans="1:50" ht="18.75">
      <c r="A66" s="51" t="s">
        <v>463</v>
      </c>
      <c r="B66" s="248" t="s">
        <v>56</v>
      </c>
      <c r="C66" s="249" t="s">
        <v>57</v>
      </c>
      <c r="D66" s="248" t="s">
        <v>56</v>
      </c>
      <c r="E66" s="248" t="s">
        <v>57</v>
      </c>
      <c r="F66" s="250"/>
      <c r="G66" s="97"/>
      <c r="I66" s="232" t="s">
        <v>56</v>
      </c>
      <c r="J66" s="232" t="s">
        <v>57</v>
      </c>
      <c r="K66" s="232" t="s">
        <v>56</v>
      </c>
      <c r="L66" s="232" t="s">
        <v>57</v>
      </c>
      <c r="M66" s="232" t="s">
        <v>101</v>
      </c>
      <c r="O66" s="215" t="s">
        <v>56</v>
      </c>
      <c r="P66" s="215" t="s">
        <v>57</v>
      </c>
      <c r="Q66" s="215" t="s">
        <v>56</v>
      </c>
      <c r="R66" s="215" t="s">
        <v>57</v>
      </c>
      <c r="S66" s="215" t="s">
        <v>101</v>
      </c>
      <c r="U66" s="198" t="s">
        <v>56</v>
      </c>
      <c r="V66" s="198" t="s">
        <v>57</v>
      </c>
      <c r="W66" s="198" t="s">
        <v>56</v>
      </c>
      <c r="X66" s="198" t="s">
        <v>57</v>
      </c>
      <c r="Y66" s="198" t="s">
        <v>101</v>
      </c>
      <c r="AA66" s="180" t="s">
        <v>56</v>
      </c>
      <c r="AB66" s="180" t="s">
        <v>57</v>
      </c>
      <c r="AC66" s="180" t="s">
        <v>56</v>
      </c>
      <c r="AD66" s="180" t="s">
        <v>57</v>
      </c>
      <c r="AE66" s="180" t="s">
        <v>101</v>
      </c>
      <c r="AF66" s="97"/>
      <c r="AG66" s="162" t="s">
        <v>56</v>
      </c>
      <c r="AH66" s="162" t="s">
        <v>57</v>
      </c>
      <c r="AI66" s="162" t="s">
        <v>56</v>
      </c>
      <c r="AJ66" s="162" t="s">
        <v>57</v>
      </c>
      <c r="AK66" s="162" t="s">
        <v>101</v>
      </c>
      <c r="AM66" s="18" t="s">
        <v>56</v>
      </c>
      <c r="AN66" s="18" t="s">
        <v>57</v>
      </c>
      <c r="AO66" s="18" t="s">
        <v>101</v>
      </c>
      <c r="AP66" s="18" t="s">
        <v>56</v>
      </c>
      <c r="AQ66" s="18" t="s">
        <v>57</v>
      </c>
      <c r="AR66" s="18" t="s">
        <v>101</v>
      </c>
      <c r="AT66" s="278" t="s">
        <v>56</v>
      </c>
      <c r="AU66" s="278" t="s">
        <v>57</v>
      </c>
      <c r="AV66" s="278" t="s">
        <v>56</v>
      </c>
      <c r="AW66" s="278" t="s">
        <v>57</v>
      </c>
      <c r="AX66" s="278" t="s">
        <v>101</v>
      </c>
    </row>
    <row r="67" spans="1:50" ht="18.75">
      <c r="A67" s="43" t="s">
        <v>394</v>
      </c>
      <c r="B67" s="267"/>
      <c r="C67" s="252"/>
      <c r="D67" s="267">
        <v>0</v>
      </c>
      <c r="E67" s="251">
        <v>59678139.22</v>
      </c>
      <c r="F67" s="247">
        <f aca="true" t="shared" si="18" ref="F67:F72">SUM(B67:C67)</f>
        <v>0</v>
      </c>
      <c r="I67" s="234"/>
      <c r="J67" s="234"/>
      <c r="K67" s="234"/>
      <c r="L67" s="234"/>
      <c r="M67" s="233"/>
      <c r="O67" s="224"/>
      <c r="P67" s="224"/>
      <c r="Q67" s="224"/>
      <c r="R67" s="224"/>
      <c r="S67" s="216"/>
      <c r="U67" s="207"/>
      <c r="V67" s="207"/>
      <c r="W67" s="207"/>
      <c r="X67" s="207"/>
      <c r="Y67" s="199"/>
      <c r="AA67" s="189"/>
      <c r="AB67" s="189"/>
      <c r="AC67" s="189"/>
      <c r="AD67" s="189"/>
      <c r="AE67" s="181"/>
      <c r="AG67" s="171"/>
      <c r="AH67" s="171"/>
      <c r="AI67" s="171"/>
      <c r="AJ67" s="171"/>
      <c r="AK67" s="163"/>
      <c r="AM67" s="305">
        <v>0</v>
      </c>
      <c r="AN67" s="305">
        <v>0</v>
      </c>
      <c r="AO67" s="305">
        <f>SUM(AM67:AN67)</f>
        <v>0</v>
      </c>
      <c r="AP67" s="305">
        <v>0</v>
      </c>
      <c r="AQ67" s="305">
        <v>0</v>
      </c>
      <c r="AR67" s="107">
        <f aca="true" t="shared" si="19" ref="AR67:AR75">SUM(AP67:AQ67)</f>
        <v>0</v>
      </c>
      <c r="AT67" s="279" t="e">
        <f>+#REF!+I67+O67+U67+AA67+AG67+AM67</f>
        <v>#REF!</v>
      </c>
      <c r="AU67" s="279"/>
      <c r="AV67" s="279">
        <f aca="true" t="shared" si="20" ref="AV67:AV107">+B67+K67+Q67+W67+AC67+AI67+AP67</f>
        <v>0</v>
      </c>
      <c r="AW67" s="279"/>
      <c r="AX67" s="279">
        <f aca="true" t="shared" si="21" ref="AX67:AX72">SUM(AV67:AW67)</f>
        <v>0</v>
      </c>
    </row>
    <row r="68" spans="1:50" ht="18.75">
      <c r="A68" s="43" t="s">
        <v>395</v>
      </c>
      <c r="B68" s="267"/>
      <c r="C68" s="252"/>
      <c r="D68" s="267">
        <v>0</v>
      </c>
      <c r="E68" s="251">
        <v>430265.83</v>
      </c>
      <c r="F68" s="247">
        <f t="shared" si="18"/>
        <v>0</v>
      </c>
      <c r="I68" s="234"/>
      <c r="J68" s="234"/>
      <c r="K68" s="234"/>
      <c r="L68" s="234"/>
      <c r="M68" s="233"/>
      <c r="O68" s="224"/>
      <c r="P68" s="224"/>
      <c r="Q68" s="224"/>
      <c r="R68" s="224"/>
      <c r="S68" s="216"/>
      <c r="U68" s="207"/>
      <c r="V68" s="207"/>
      <c r="W68" s="207"/>
      <c r="X68" s="207"/>
      <c r="Y68" s="199"/>
      <c r="AA68" s="189"/>
      <c r="AB68" s="189"/>
      <c r="AC68" s="189"/>
      <c r="AD68" s="189"/>
      <c r="AE68" s="181"/>
      <c r="AG68" s="171"/>
      <c r="AH68" s="171"/>
      <c r="AI68" s="171"/>
      <c r="AJ68" s="171"/>
      <c r="AK68" s="163"/>
      <c r="AM68" s="305">
        <v>0</v>
      </c>
      <c r="AN68" s="305">
        <v>0</v>
      </c>
      <c r="AO68" s="305">
        <f aca="true" t="shared" si="22" ref="AO68:AO107">SUM(AM68:AN68)</f>
        <v>0</v>
      </c>
      <c r="AP68" s="305">
        <v>0</v>
      </c>
      <c r="AQ68" s="305">
        <v>0</v>
      </c>
      <c r="AR68" s="107">
        <f t="shared" si="19"/>
        <v>0</v>
      </c>
      <c r="AT68" s="279" t="e">
        <f>+#REF!+I68+O68+U68+AA68+AG68+AM68</f>
        <v>#REF!</v>
      </c>
      <c r="AU68" s="279"/>
      <c r="AV68" s="279">
        <f t="shared" si="20"/>
        <v>0</v>
      </c>
      <c r="AW68" s="279"/>
      <c r="AX68" s="279">
        <f t="shared" si="21"/>
        <v>0</v>
      </c>
    </row>
    <row r="69" spans="1:50" ht="18.75">
      <c r="A69" s="43" t="s">
        <v>396</v>
      </c>
      <c r="B69" s="267"/>
      <c r="C69" s="252"/>
      <c r="D69" s="267">
        <v>0</v>
      </c>
      <c r="E69" s="251">
        <v>28037588.72</v>
      </c>
      <c r="F69" s="247">
        <f t="shared" si="18"/>
        <v>0</v>
      </c>
      <c r="I69" s="234"/>
      <c r="J69" s="234"/>
      <c r="K69" s="234"/>
      <c r="L69" s="234"/>
      <c r="M69" s="233"/>
      <c r="O69" s="224"/>
      <c r="P69" s="224"/>
      <c r="Q69" s="224"/>
      <c r="R69" s="224"/>
      <c r="S69" s="216"/>
      <c r="U69" s="207"/>
      <c r="V69" s="207"/>
      <c r="W69" s="207"/>
      <c r="X69" s="207"/>
      <c r="Y69" s="199"/>
      <c r="AA69" s="189"/>
      <c r="AB69" s="189"/>
      <c r="AC69" s="189"/>
      <c r="AD69" s="189"/>
      <c r="AE69" s="181"/>
      <c r="AG69" s="171"/>
      <c r="AH69" s="171"/>
      <c r="AI69" s="171"/>
      <c r="AJ69" s="171"/>
      <c r="AK69" s="163"/>
      <c r="AM69" s="305">
        <v>0</v>
      </c>
      <c r="AN69" s="305">
        <v>0</v>
      </c>
      <c r="AO69" s="305">
        <f t="shared" si="22"/>
        <v>0</v>
      </c>
      <c r="AP69" s="305">
        <v>0</v>
      </c>
      <c r="AQ69" s="305">
        <v>0</v>
      </c>
      <c r="AR69" s="107">
        <f t="shared" si="19"/>
        <v>0</v>
      </c>
      <c r="AT69" s="279" t="e">
        <f>+#REF!+I69+O69+U69+AA69+AG69+AM69</f>
        <v>#REF!</v>
      </c>
      <c r="AU69" s="279"/>
      <c r="AV69" s="279">
        <f t="shared" si="20"/>
        <v>0</v>
      </c>
      <c r="AW69" s="279"/>
      <c r="AX69" s="279">
        <f t="shared" si="21"/>
        <v>0</v>
      </c>
    </row>
    <row r="70" spans="1:50" ht="18.75">
      <c r="A70" s="43" t="s">
        <v>397</v>
      </c>
      <c r="B70" s="267"/>
      <c r="C70" s="252"/>
      <c r="D70" s="267">
        <v>0</v>
      </c>
      <c r="E70" s="251">
        <v>42212968.94</v>
      </c>
      <c r="F70" s="247">
        <f t="shared" si="18"/>
        <v>0</v>
      </c>
      <c r="I70" s="234"/>
      <c r="J70" s="234"/>
      <c r="K70" s="234"/>
      <c r="L70" s="234"/>
      <c r="M70" s="233"/>
      <c r="O70" s="224"/>
      <c r="P70" s="224"/>
      <c r="Q70" s="224"/>
      <c r="R70" s="224"/>
      <c r="S70" s="216"/>
      <c r="U70" s="207"/>
      <c r="V70" s="207"/>
      <c r="W70" s="207"/>
      <c r="X70" s="207"/>
      <c r="Y70" s="199"/>
      <c r="AA70" s="189"/>
      <c r="AB70" s="189"/>
      <c r="AC70" s="189"/>
      <c r="AD70" s="189"/>
      <c r="AE70" s="181"/>
      <c r="AG70" s="171"/>
      <c r="AH70" s="171"/>
      <c r="AI70" s="171"/>
      <c r="AJ70" s="171"/>
      <c r="AK70" s="163"/>
      <c r="AM70" s="305">
        <v>0</v>
      </c>
      <c r="AN70" s="305">
        <v>0</v>
      </c>
      <c r="AO70" s="305">
        <f t="shared" si="22"/>
        <v>0</v>
      </c>
      <c r="AP70" s="305">
        <v>0</v>
      </c>
      <c r="AQ70" s="305">
        <v>0</v>
      </c>
      <c r="AR70" s="107">
        <f t="shared" si="19"/>
        <v>0</v>
      </c>
      <c r="AT70" s="279" t="e">
        <f>+#REF!+I70+O70+U70+AA70+AG70+AM70</f>
        <v>#REF!</v>
      </c>
      <c r="AU70" s="279"/>
      <c r="AV70" s="279">
        <f t="shared" si="20"/>
        <v>0</v>
      </c>
      <c r="AW70" s="279"/>
      <c r="AX70" s="279">
        <f t="shared" si="21"/>
        <v>0</v>
      </c>
    </row>
    <row r="71" spans="1:50" ht="18.75">
      <c r="A71" s="43" t="s">
        <v>398</v>
      </c>
      <c r="B71" s="267"/>
      <c r="C71" s="252"/>
      <c r="D71" s="267">
        <v>0</v>
      </c>
      <c r="E71" s="251">
        <v>51326402.48</v>
      </c>
      <c r="F71" s="247">
        <f t="shared" si="18"/>
        <v>0</v>
      </c>
      <c r="I71" s="234"/>
      <c r="J71" s="234"/>
      <c r="K71" s="234"/>
      <c r="L71" s="234"/>
      <c r="M71" s="233"/>
      <c r="O71" s="224"/>
      <c r="P71" s="224"/>
      <c r="Q71" s="224"/>
      <c r="R71" s="224"/>
      <c r="S71" s="216"/>
      <c r="U71" s="207"/>
      <c r="V71" s="207"/>
      <c r="W71" s="207"/>
      <c r="X71" s="207"/>
      <c r="Y71" s="199"/>
      <c r="AA71" s="189"/>
      <c r="AB71" s="189"/>
      <c r="AC71" s="189"/>
      <c r="AD71" s="189"/>
      <c r="AE71" s="181"/>
      <c r="AG71" s="171"/>
      <c r="AH71" s="171"/>
      <c r="AI71" s="171"/>
      <c r="AJ71" s="171"/>
      <c r="AK71" s="163"/>
      <c r="AM71" s="305">
        <v>0</v>
      </c>
      <c r="AN71" s="305">
        <v>0</v>
      </c>
      <c r="AO71" s="305">
        <f t="shared" si="22"/>
        <v>0</v>
      </c>
      <c r="AP71" s="305">
        <v>0</v>
      </c>
      <c r="AQ71" s="305">
        <v>0</v>
      </c>
      <c r="AR71" s="107">
        <f t="shared" si="19"/>
        <v>0</v>
      </c>
      <c r="AT71" s="279" t="e">
        <f>+#REF!+I71+O71+U71+AA71+AG71+AM71</f>
        <v>#REF!</v>
      </c>
      <c r="AU71" s="279"/>
      <c r="AV71" s="279">
        <f t="shared" si="20"/>
        <v>0</v>
      </c>
      <c r="AW71" s="279"/>
      <c r="AX71" s="279">
        <f t="shared" si="21"/>
        <v>0</v>
      </c>
    </row>
    <row r="72" spans="1:50" ht="18.75">
      <c r="A72" s="43" t="s">
        <v>399</v>
      </c>
      <c r="B72" s="267"/>
      <c r="C72" s="252"/>
      <c r="D72" s="267">
        <v>0</v>
      </c>
      <c r="E72" s="251">
        <v>25017824.619999997</v>
      </c>
      <c r="F72" s="247">
        <f t="shared" si="18"/>
        <v>0</v>
      </c>
      <c r="I72" s="234"/>
      <c r="J72" s="234"/>
      <c r="K72" s="234"/>
      <c r="L72" s="234"/>
      <c r="M72" s="233"/>
      <c r="O72" s="224"/>
      <c r="P72" s="224"/>
      <c r="Q72" s="224"/>
      <c r="R72" s="224"/>
      <c r="S72" s="216"/>
      <c r="U72" s="207"/>
      <c r="V72" s="207"/>
      <c r="W72" s="207"/>
      <c r="X72" s="207"/>
      <c r="Y72" s="199"/>
      <c r="AA72" s="189"/>
      <c r="AB72" s="189"/>
      <c r="AC72" s="189"/>
      <c r="AD72" s="189"/>
      <c r="AE72" s="181"/>
      <c r="AG72" s="171"/>
      <c r="AH72" s="171"/>
      <c r="AI72" s="171"/>
      <c r="AJ72" s="171"/>
      <c r="AK72" s="163"/>
      <c r="AM72" s="305">
        <v>0</v>
      </c>
      <c r="AN72" s="305">
        <v>0</v>
      </c>
      <c r="AO72" s="305">
        <f t="shared" si="22"/>
        <v>0</v>
      </c>
      <c r="AP72" s="305">
        <v>0</v>
      </c>
      <c r="AQ72" s="305">
        <v>0</v>
      </c>
      <c r="AR72" s="107">
        <f t="shared" si="19"/>
        <v>0</v>
      </c>
      <c r="AT72" s="279" t="e">
        <f>+#REF!+I72+O72+U72+AA72+AG72+AM72</f>
        <v>#REF!</v>
      </c>
      <c r="AU72" s="279"/>
      <c r="AV72" s="279">
        <f t="shared" si="20"/>
        <v>0</v>
      </c>
      <c r="AW72" s="279"/>
      <c r="AX72" s="279">
        <f t="shared" si="21"/>
        <v>0</v>
      </c>
    </row>
    <row r="73" spans="1:60" ht="18.75">
      <c r="A73" s="43" t="s">
        <v>337</v>
      </c>
      <c r="B73" s="251"/>
      <c r="C73" s="252"/>
      <c r="D73" s="251">
        <v>0</v>
      </c>
      <c r="E73" s="251">
        <v>1817076.06</v>
      </c>
      <c r="F73" s="247">
        <f>SUM(B73:C73)</f>
        <v>0</v>
      </c>
      <c r="I73" s="233"/>
      <c r="J73" s="233"/>
      <c r="K73" s="233"/>
      <c r="L73" s="233">
        <v>2256.1</v>
      </c>
      <c r="M73" s="233">
        <f>SUM(K73:L73)</f>
        <v>2256.1</v>
      </c>
      <c r="O73" s="216"/>
      <c r="P73" s="216"/>
      <c r="Q73" s="216"/>
      <c r="R73" s="216"/>
      <c r="S73" s="216">
        <f>SUM(Q73:R73)</f>
        <v>0</v>
      </c>
      <c r="U73" s="199"/>
      <c r="V73" s="199"/>
      <c r="W73" s="199"/>
      <c r="X73" s="199">
        <f>2318934.61-2300000</f>
        <v>18934.60999999987</v>
      </c>
      <c r="Y73" s="199">
        <f>SUM(W73:X73)</f>
        <v>18934.60999999987</v>
      </c>
      <c r="AA73" s="181"/>
      <c r="AB73" s="181"/>
      <c r="AC73" s="181"/>
      <c r="AD73" s="181">
        <v>93902.94</v>
      </c>
      <c r="AE73" s="181">
        <f>SUM(AC73:AD73)</f>
        <v>93902.94</v>
      </c>
      <c r="AG73" s="163"/>
      <c r="AH73" s="163"/>
      <c r="AI73" s="163"/>
      <c r="AJ73" s="163"/>
      <c r="AK73" s="163">
        <f>SUM(AI73:AJ73)</f>
        <v>0</v>
      </c>
      <c r="AM73" s="107">
        <v>0</v>
      </c>
      <c r="AN73" s="107">
        <v>0</v>
      </c>
      <c r="AO73" s="305">
        <f t="shared" si="22"/>
        <v>0</v>
      </c>
      <c r="AP73" s="107">
        <v>0</v>
      </c>
      <c r="AQ73" s="107">
        <v>0</v>
      </c>
      <c r="AR73" s="107">
        <f t="shared" si="19"/>
        <v>0</v>
      </c>
      <c r="AT73" s="279" t="e">
        <f>+#REF!+I73+O73+U73+AA73+AG73+AM73</f>
        <v>#REF!</v>
      </c>
      <c r="AU73" s="279" t="e">
        <f aca="true" t="shared" si="23" ref="AU73:AU107">+A73+J73+P73+V73+AB73+AH73+AN73</f>
        <v>#VALUE!</v>
      </c>
      <c r="AV73" s="279">
        <f t="shared" si="20"/>
        <v>0</v>
      </c>
      <c r="AW73" s="279">
        <f aca="true" t="shared" si="24" ref="AW73:AW107">+C73+L73+R73+X73+AD73+AJ73+AQ73</f>
        <v>115093.64999999988</v>
      </c>
      <c r="AX73" s="279">
        <f aca="true" t="shared" si="25" ref="AX73:AX107">SUM(AV73:AW73)</f>
        <v>115093.64999999988</v>
      </c>
      <c r="AY73" s="93" t="s">
        <v>401</v>
      </c>
      <c r="AZ73" s="145" t="s">
        <v>401</v>
      </c>
      <c r="BA73" s="45" t="s">
        <v>401</v>
      </c>
      <c r="BB73" s="45" t="s">
        <v>401</v>
      </c>
      <c r="BC73" s="45"/>
      <c r="BD73" s="45"/>
      <c r="BE73" s="45"/>
      <c r="BF73" s="45"/>
      <c r="BG73" s="45"/>
      <c r="BH73" s="45"/>
    </row>
    <row r="74" spans="1:63" ht="18.75">
      <c r="A74" s="43" t="s">
        <v>350</v>
      </c>
      <c r="B74" s="258"/>
      <c r="C74" s="259"/>
      <c r="D74" s="258">
        <v>0</v>
      </c>
      <c r="E74" s="258">
        <v>66342368.65</v>
      </c>
      <c r="F74" s="247">
        <f>SUM(B74:C74)</f>
        <v>0</v>
      </c>
      <c r="I74" s="237"/>
      <c r="J74" s="237"/>
      <c r="K74" s="237"/>
      <c r="L74" s="237"/>
      <c r="M74" s="233"/>
      <c r="O74" s="219"/>
      <c r="P74" s="219"/>
      <c r="Q74" s="219"/>
      <c r="R74" s="219">
        <v>752700.04</v>
      </c>
      <c r="S74" s="216">
        <f>SUM(Q74:R74)</f>
        <v>752700.04</v>
      </c>
      <c r="U74" s="202"/>
      <c r="V74" s="202"/>
      <c r="W74" s="202"/>
      <c r="X74" s="202">
        <v>10000</v>
      </c>
      <c r="Y74" s="199">
        <f>SUM(W74:X74)</f>
        <v>10000</v>
      </c>
      <c r="AA74" s="184"/>
      <c r="AB74" s="184"/>
      <c r="AC74" s="184">
        <v>34170</v>
      </c>
      <c r="AD74" s="184">
        <v>762988.16</v>
      </c>
      <c r="AE74" s="181">
        <f>SUM(AC74:AD74)</f>
        <v>797158.16</v>
      </c>
      <c r="AG74" s="166"/>
      <c r="AH74" s="166"/>
      <c r="AI74" s="166"/>
      <c r="AJ74" s="166">
        <v>1998653.9</v>
      </c>
      <c r="AK74" s="163">
        <f>SUM(AI74:AJ74)</f>
        <v>1998653.9</v>
      </c>
      <c r="AM74" s="299">
        <v>0</v>
      </c>
      <c r="AN74" s="299"/>
      <c r="AO74" s="305">
        <f t="shared" si="22"/>
        <v>0</v>
      </c>
      <c r="AP74" s="299">
        <v>0</v>
      </c>
      <c r="AQ74" s="299">
        <v>466557.09</v>
      </c>
      <c r="AR74" s="107">
        <f t="shared" si="19"/>
        <v>466557.09</v>
      </c>
      <c r="AT74" s="279" t="e">
        <f>+#REF!+I74+O74+U74+AA74+AG74+AM74</f>
        <v>#REF!</v>
      </c>
      <c r="AU74" s="279" t="e">
        <f t="shared" si="23"/>
        <v>#VALUE!</v>
      </c>
      <c r="AV74" s="279">
        <f t="shared" si="20"/>
        <v>34170</v>
      </c>
      <c r="AW74" s="279">
        <f t="shared" si="24"/>
        <v>3990899.19</v>
      </c>
      <c r="AX74" s="279">
        <f t="shared" si="25"/>
        <v>4025069.19</v>
      </c>
      <c r="AY74" s="45">
        <v>5181138.43</v>
      </c>
      <c r="AZ74" s="137">
        <v>5477035.15</v>
      </c>
      <c r="BA74" s="50">
        <v>33443847.73</v>
      </c>
      <c r="BB74" s="50">
        <v>6571123.01</v>
      </c>
      <c r="BI74" s="50"/>
      <c r="BK74" s="2"/>
    </row>
    <row r="75" spans="1:50" ht="18.75">
      <c r="A75" s="43" t="s">
        <v>323</v>
      </c>
      <c r="B75" s="267">
        <v>0</v>
      </c>
      <c r="C75" s="268">
        <v>0</v>
      </c>
      <c r="D75" s="267">
        <v>0</v>
      </c>
      <c r="E75" s="267">
        <v>0</v>
      </c>
      <c r="F75" s="247">
        <f>SUM(B75:C75)</f>
        <v>0</v>
      </c>
      <c r="I75" s="234"/>
      <c r="J75" s="234"/>
      <c r="K75" s="234"/>
      <c r="L75" s="234">
        <v>145155</v>
      </c>
      <c r="M75" s="233">
        <f>SUM(K75:L75)</f>
        <v>145155</v>
      </c>
      <c r="O75" s="224"/>
      <c r="P75" s="224"/>
      <c r="Q75" s="224"/>
      <c r="R75" s="224"/>
      <c r="S75" s="216">
        <f>SUM(Q75:R75)</f>
        <v>0</v>
      </c>
      <c r="U75" s="207"/>
      <c r="V75" s="207"/>
      <c r="W75" s="207"/>
      <c r="X75" s="207"/>
      <c r="Y75" s="199">
        <f>SUM(W75:X75)</f>
        <v>0</v>
      </c>
      <c r="AA75" s="189"/>
      <c r="AB75" s="189"/>
      <c r="AC75" s="189"/>
      <c r="AD75" s="189"/>
      <c r="AE75" s="181">
        <f>SUM(AC75:AD75)</f>
        <v>0</v>
      </c>
      <c r="AG75" s="171"/>
      <c r="AH75" s="171"/>
      <c r="AI75" s="171"/>
      <c r="AJ75" s="171"/>
      <c r="AK75" s="163">
        <f>SUM(AI75:AJ75)</f>
        <v>0</v>
      </c>
      <c r="AM75" s="305">
        <v>0</v>
      </c>
      <c r="AN75" s="107"/>
      <c r="AO75" s="305">
        <f t="shared" si="22"/>
        <v>0</v>
      </c>
      <c r="AP75" s="305">
        <v>0</v>
      </c>
      <c r="AQ75" s="107">
        <v>30720</v>
      </c>
      <c r="AR75" s="107">
        <f t="shared" si="19"/>
        <v>30720</v>
      </c>
      <c r="AT75" s="279" t="e">
        <f>+#REF!+I75+O75+U75+AA75+AG75+AM75</f>
        <v>#REF!</v>
      </c>
      <c r="AU75" s="279" t="e">
        <f t="shared" si="23"/>
        <v>#VALUE!</v>
      </c>
      <c r="AV75" s="279">
        <f t="shared" si="20"/>
        <v>0</v>
      </c>
      <c r="AW75" s="279">
        <f t="shared" si="24"/>
        <v>175875</v>
      </c>
      <c r="AX75" s="279">
        <f t="shared" si="25"/>
        <v>175875</v>
      </c>
    </row>
    <row r="76" spans="1:50" ht="18.75">
      <c r="A76" s="43" t="s">
        <v>324</v>
      </c>
      <c r="B76" s="251">
        <v>0</v>
      </c>
      <c r="C76" s="252">
        <v>0</v>
      </c>
      <c r="D76" s="251">
        <v>0</v>
      </c>
      <c r="E76" s="251">
        <v>0</v>
      </c>
      <c r="F76" s="247">
        <f aca="true" t="shared" si="26" ref="F76:F107">SUM(B76:C76)</f>
        <v>0</v>
      </c>
      <c r="I76" s="233"/>
      <c r="J76" s="233"/>
      <c r="K76" s="233"/>
      <c r="L76" s="233">
        <v>300</v>
      </c>
      <c r="M76" s="233">
        <f aca="true" t="shared" si="27" ref="M76:M92">SUM(K76:L76)</f>
        <v>300</v>
      </c>
      <c r="O76" s="216"/>
      <c r="P76" s="216"/>
      <c r="Q76" s="216"/>
      <c r="R76" s="216"/>
      <c r="S76" s="216">
        <f aca="true" t="shared" si="28" ref="S76:S92">SUM(Q76:R76)</f>
        <v>0</v>
      </c>
      <c r="U76" s="199"/>
      <c r="V76" s="199"/>
      <c r="W76" s="199"/>
      <c r="X76" s="199"/>
      <c r="Y76" s="199">
        <f aca="true" t="shared" si="29" ref="Y76:Y92">SUM(W76:X76)</f>
        <v>0</v>
      </c>
      <c r="AA76" s="181"/>
      <c r="AB76" s="181"/>
      <c r="AC76" s="181"/>
      <c r="AD76" s="181"/>
      <c r="AE76" s="181">
        <f aca="true" t="shared" si="30" ref="AE76:AE92">SUM(AC76:AD76)</f>
        <v>0</v>
      </c>
      <c r="AG76" s="163"/>
      <c r="AH76" s="163"/>
      <c r="AI76" s="163"/>
      <c r="AJ76" s="163"/>
      <c r="AK76" s="163">
        <f aca="true" t="shared" si="31" ref="AK76:AK92">SUM(AI76:AJ76)</f>
        <v>0</v>
      </c>
      <c r="AM76" s="107">
        <v>0</v>
      </c>
      <c r="AN76" s="107">
        <v>0</v>
      </c>
      <c r="AO76" s="305">
        <f t="shared" si="22"/>
        <v>0</v>
      </c>
      <c r="AP76" s="107">
        <v>0</v>
      </c>
      <c r="AQ76" s="107">
        <v>0</v>
      </c>
      <c r="AR76" s="107">
        <f aca="true" t="shared" si="32" ref="AR76:AR92">SUM(AP76:AQ76)</f>
        <v>0</v>
      </c>
      <c r="AT76" s="279" t="e">
        <f>+#REF!+I76+O76+U76+AA76+AG76+AM76</f>
        <v>#REF!</v>
      </c>
      <c r="AU76" s="279" t="e">
        <f t="shared" si="23"/>
        <v>#VALUE!</v>
      </c>
      <c r="AV76" s="279">
        <f t="shared" si="20"/>
        <v>0</v>
      </c>
      <c r="AW76" s="279">
        <f t="shared" si="24"/>
        <v>300</v>
      </c>
      <c r="AX76" s="279">
        <f t="shared" si="25"/>
        <v>300</v>
      </c>
    </row>
    <row r="77" spans="1:50" ht="18.75">
      <c r="A77" s="43" t="s">
        <v>325</v>
      </c>
      <c r="B77" s="251">
        <v>0</v>
      </c>
      <c r="C77" s="252">
        <v>0</v>
      </c>
      <c r="D77" s="251">
        <v>0</v>
      </c>
      <c r="E77" s="251">
        <v>0</v>
      </c>
      <c r="F77" s="247">
        <f t="shared" si="26"/>
        <v>0</v>
      </c>
      <c r="I77" s="233"/>
      <c r="J77" s="233"/>
      <c r="K77" s="233"/>
      <c r="L77" s="233">
        <v>848440</v>
      </c>
      <c r="M77" s="233">
        <f t="shared" si="27"/>
        <v>848440</v>
      </c>
      <c r="O77" s="216"/>
      <c r="P77" s="216"/>
      <c r="Q77" s="216"/>
      <c r="R77" s="216"/>
      <c r="S77" s="216">
        <f t="shared" si="28"/>
        <v>0</v>
      </c>
      <c r="U77" s="199"/>
      <c r="V77" s="199"/>
      <c r="W77" s="199"/>
      <c r="X77" s="199"/>
      <c r="Y77" s="199">
        <f t="shared" si="29"/>
        <v>0</v>
      </c>
      <c r="AA77" s="181"/>
      <c r="AB77" s="181"/>
      <c r="AC77" s="181"/>
      <c r="AD77" s="181"/>
      <c r="AE77" s="181">
        <f t="shared" si="30"/>
        <v>0</v>
      </c>
      <c r="AG77" s="163"/>
      <c r="AH77" s="163"/>
      <c r="AI77" s="163"/>
      <c r="AJ77" s="163"/>
      <c r="AK77" s="163">
        <f t="shared" si="31"/>
        <v>0</v>
      </c>
      <c r="AM77" s="107">
        <v>0</v>
      </c>
      <c r="AN77" s="107">
        <v>0</v>
      </c>
      <c r="AO77" s="305">
        <f t="shared" si="22"/>
        <v>0</v>
      </c>
      <c r="AP77" s="107">
        <v>0</v>
      </c>
      <c r="AQ77" s="107">
        <v>0</v>
      </c>
      <c r="AR77" s="107">
        <f t="shared" si="32"/>
        <v>0</v>
      </c>
      <c r="AT77" s="279" t="e">
        <f>+#REF!+I77+O77+U77+AA77+AG77+AM77</f>
        <v>#REF!</v>
      </c>
      <c r="AU77" s="279" t="e">
        <f t="shared" si="23"/>
        <v>#VALUE!</v>
      </c>
      <c r="AV77" s="279">
        <f t="shared" si="20"/>
        <v>0</v>
      </c>
      <c r="AW77" s="279">
        <f t="shared" si="24"/>
        <v>848440</v>
      </c>
      <c r="AX77" s="279">
        <f t="shared" si="25"/>
        <v>848440</v>
      </c>
    </row>
    <row r="78" spans="1:50" ht="18.75">
      <c r="A78" s="43" t="s">
        <v>326</v>
      </c>
      <c r="B78" s="251">
        <v>0</v>
      </c>
      <c r="C78" s="252">
        <v>0</v>
      </c>
      <c r="D78" s="251">
        <v>0</v>
      </c>
      <c r="E78" s="251">
        <v>0</v>
      </c>
      <c r="F78" s="247">
        <f t="shared" si="26"/>
        <v>0</v>
      </c>
      <c r="I78" s="233"/>
      <c r="J78" s="233"/>
      <c r="K78" s="233"/>
      <c r="L78" s="233">
        <v>140400</v>
      </c>
      <c r="M78" s="233">
        <f t="shared" si="27"/>
        <v>140400</v>
      </c>
      <c r="O78" s="216"/>
      <c r="P78" s="216"/>
      <c r="Q78" s="216"/>
      <c r="R78" s="216">
        <v>69597</v>
      </c>
      <c r="S78" s="216">
        <f t="shared" si="28"/>
        <v>69597</v>
      </c>
      <c r="U78" s="199"/>
      <c r="V78" s="199"/>
      <c r="W78" s="199"/>
      <c r="X78" s="199">
        <f>332559+828101.21</f>
        <v>1160660.21</v>
      </c>
      <c r="Y78" s="199">
        <f t="shared" si="29"/>
        <v>1160660.21</v>
      </c>
      <c r="AA78" s="181"/>
      <c r="AB78" s="181"/>
      <c r="AC78" s="181"/>
      <c r="AD78" s="181">
        <f>559613+26200</f>
        <v>585813</v>
      </c>
      <c r="AE78" s="181">
        <f t="shared" si="30"/>
        <v>585813</v>
      </c>
      <c r="AG78" s="163"/>
      <c r="AH78" s="163"/>
      <c r="AI78" s="163"/>
      <c r="AJ78" s="163">
        <v>733001</v>
      </c>
      <c r="AK78" s="163">
        <f t="shared" si="31"/>
        <v>733001</v>
      </c>
      <c r="AM78" s="107">
        <v>0</v>
      </c>
      <c r="AN78" s="107">
        <v>60400</v>
      </c>
      <c r="AO78" s="305">
        <f t="shared" si="22"/>
        <v>60400</v>
      </c>
      <c r="AP78" s="107">
        <v>0</v>
      </c>
      <c r="AQ78" s="107">
        <v>114475</v>
      </c>
      <c r="AR78" s="107">
        <f t="shared" si="32"/>
        <v>114475</v>
      </c>
      <c r="AT78" s="279" t="e">
        <f>+#REF!+I78+O78+U78+AA78+AG78+AM78</f>
        <v>#REF!</v>
      </c>
      <c r="AU78" s="279" t="e">
        <f t="shared" si="23"/>
        <v>#VALUE!</v>
      </c>
      <c r="AV78" s="279">
        <f t="shared" si="20"/>
        <v>0</v>
      </c>
      <c r="AW78" s="279">
        <f t="shared" si="24"/>
        <v>2803946.21</v>
      </c>
      <c r="AX78" s="279">
        <f t="shared" si="25"/>
        <v>2803946.21</v>
      </c>
    </row>
    <row r="79" spans="1:50" ht="18.75">
      <c r="A79" s="43" t="s">
        <v>382</v>
      </c>
      <c r="B79" s="251"/>
      <c r="C79" s="252"/>
      <c r="D79" s="251"/>
      <c r="E79" s="251"/>
      <c r="I79" s="233"/>
      <c r="J79" s="233"/>
      <c r="K79" s="233"/>
      <c r="L79" s="233"/>
      <c r="M79" s="233"/>
      <c r="O79" s="216"/>
      <c r="P79" s="216"/>
      <c r="Q79" s="216"/>
      <c r="R79" s="216"/>
      <c r="S79" s="216"/>
      <c r="U79" s="199"/>
      <c r="V79" s="199"/>
      <c r="W79" s="199"/>
      <c r="X79" s="199"/>
      <c r="Y79" s="199"/>
      <c r="AA79" s="181"/>
      <c r="AB79" s="181"/>
      <c r="AC79" s="181"/>
      <c r="AD79" s="181"/>
      <c r="AE79" s="181"/>
      <c r="AG79" s="163"/>
      <c r="AH79" s="163"/>
      <c r="AI79" s="163"/>
      <c r="AJ79" s="163">
        <v>61300</v>
      </c>
      <c r="AK79" s="163">
        <f t="shared" si="31"/>
        <v>61300</v>
      </c>
      <c r="AM79" s="107">
        <v>0</v>
      </c>
      <c r="AN79" s="107">
        <v>0</v>
      </c>
      <c r="AO79" s="305">
        <f t="shared" si="22"/>
        <v>0</v>
      </c>
      <c r="AP79" s="107">
        <v>0</v>
      </c>
      <c r="AQ79" s="107">
        <v>0</v>
      </c>
      <c r="AR79" s="107">
        <f t="shared" si="32"/>
        <v>0</v>
      </c>
      <c r="AT79" s="279" t="e">
        <f>+#REF!+I79+O79+U79+AA79+AG79+AM79</f>
        <v>#REF!</v>
      </c>
      <c r="AU79" s="279" t="e">
        <f t="shared" si="23"/>
        <v>#VALUE!</v>
      </c>
      <c r="AV79" s="279">
        <f t="shared" si="20"/>
        <v>0</v>
      </c>
      <c r="AW79" s="279">
        <f t="shared" si="24"/>
        <v>61300</v>
      </c>
      <c r="AX79" s="279">
        <f t="shared" si="25"/>
        <v>61300</v>
      </c>
    </row>
    <row r="80" spans="1:50" ht="18.75">
      <c r="A80" s="43" t="s">
        <v>383</v>
      </c>
      <c r="B80" s="251"/>
      <c r="C80" s="252"/>
      <c r="D80" s="251"/>
      <c r="E80" s="251"/>
      <c r="I80" s="233"/>
      <c r="J80" s="233"/>
      <c r="K80" s="233"/>
      <c r="L80" s="233"/>
      <c r="M80" s="233"/>
      <c r="O80" s="216"/>
      <c r="P80" s="216"/>
      <c r="Q80" s="216"/>
      <c r="R80" s="216"/>
      <c r="S80" s="216"/>
      <c r="U80" s="199"/>
      <c r="V80" s="199"/>
      <c r="W80" s="199"/>
      <c r="X80" s="199"/>
      <c r="Y80" s="199"/>
      <c r="AA80" s="181"/>
      <c r="AB80" s="181"/>
      <c r="AC80" s="181"/>
      <c r="AD80" s="181"/>
      <c r="AE80" s="181"/>
      <c r="AG80" s="163"/>
      <c r="AH80" s="163"/>
      <c r="AI80" s="163"/>
      <c r="AJ80" s="163">
        <v>2014246</v>
      </c>
      <c r="AK80" s="163">
        <f t="shared" si="31"/>
        <v>2014246</v>
      </c>
      <c r="AM80" s="107">
        <v>0</v>
      </c>
      <c r="AN80" s="107">
        <v>0</v>
      </c>
      <c r="AO80" s="305">
        <f t="shared" si="22"/>
        <v>0</v>
      </c>
      <c r="AP80" s="107">
        <v>0</v>
      </c>
      <c r="AQ80" s="107">
        <v>0</v>
      </c>
      <c r="AR80" s="107">
        <f t="shared" si="32"/>
        <v>0</v>
      </c>
      <c r="AT80" s="279" t="e">
        <f>+#REF!+I80+O80+U80+AA80+AG80+AM80</f>
        <v>#REF!</v>
      </c>
      <c r="AU80" s="279" t="e">
        <f t="shared" si="23"/>
        <v>#VALUE!</v>
      </c>
      <c r="AV80" s="279">
        <f t="shared" si="20"/>
        <v>0</v>
      </c>
      <c r="AW80" s="279">
        <f t="shared" si="24"/>
        <v>2014246</v>
      </c>
      <c r="AX80" s="279">
        <f t="shared" si="25"/>
        <v>2014246</v>
      </c>
    </row>
    <row r="81" spans="1:50" ht="18.75">
      <c r="A81" s="43" t="s">
        <v>327</v>
      </c>
      <c r="B81" s="251">
        <v>0</v>
      </c>
      <c r="C81" s="252">
        <v>0</v>
      </c>
      <c r="D81" s="251">
        <v>0</v>
      </c>
      <c r="E81" s="251">
        <v>0</v>
      </c>
      <c r="F81" s="247">
        <f t="shared" si="26"/>
        <v>0</v>
      </c>
      <c r="I81" s="233"/>
      <c r="J81" s="233"/>
      <c r="K81" s="233"/>
      <c r="L81" s="233">
        <v>2000</v>
      </c>
      <c r="M81" s="233">
        <f t="shared" si="27"/>
        <v>2000</v>
      </c>
      <c r="O81" s="216"/>
      <c r="P81" s="216"/>
      <c r="Q81" s="216"/>
      <c r="R81" s="216"/>
      <c r="S81" s="216">
        <f t="shared" si="28"/>
        <v>0</v>
      </c>
      <c r="U81" s="199"/>
      <c r="V81" s="199"/>
      <c r="W81" s="199"/>
      <c r="X81" s="199"/>
      <c r="Y81" s="199">
        <f t="shared" si="29"/>
        <v>0</v>
      </c>
      <c r="AA81" s="181"/>
      <c r="AB81" s="181"/>
      <c r="AC81" s="181"/>
      <c r="AD81" s="181"/>
      <c r="AE81" s="181">
        <f t="shared" si="30"/>
        <v>0</v>
      </c>
      <c r="AG81" s="163"/>
      <c r="AH81" s="163"/>
      <c r="AI81" s="163"/>
      <c r="AJ81" s="163"/>
      <c r="AK81" s="163">
        <f t="shared" si="31"/>
        <v>0</v>
      </c>
      <c r="AM81" s="107">
        <v>0</v>
      </c>
      <c r="AN81" s="107">
        <v>0</v>
      </c>
      <c r="AO81" s="305">
        <f t="shared" si="22"/>
        <v>0</v>
      </c>
      <c r="AP81" s="107">
        <v>0</v>
      </c>
      <c r="AQ81" s="107">
        <v>0</v>
      </c>
      <c r="AR81" s="107">
        <f t="shared" si="32"/>
        <v>0</v>
      </c>
      <c r="AT81" s="279" t="e">
        <f>+#REF!+I81+O81+U81+AA81+AG81+AM81</f>
        <v>#REF!</v>
      </c>
      <c r="AU81" s="279" t="e">
        <f t="shared" si="23"/>
        <v>#VALUE!</v>
      </c>
      <c r="AV81" s="279">
        <f t="shared" si="20"/>
        <v>0</v>
      </c>
      <c r="AW81" s="279">
        <f t="shared" si="24"/>
        <v>2000</v>
      </c>
      <c r="AX81" s="279">
        <f t="shared" si="25"/>
        <v>2000</v>
      </c>
    </row>
    <row r="82" spans="1:50" ht="18.75">
      <c r="A82" s="43" t="s">
        <v>328</v>
      </c>
      <c r="B82" s="251">
        <v>0</v>
      </c>
      <c r="C82" s="252">
        <v>0</v>
      </c>
      <c r="D82" s="251">
        <v>0</v>
      </c>
      <c r="E82" s="251">
        <v>0</v>
      </c>
      <c r="F82" s="247">
        <f t="shared" si="26"/>
        <v>0</v>
      </c>
      <c r="I82" s="233"/>
      <c r="J82" s="233"/>
      <c r="K82" s="233"/>
      <c r="L82" s="233">
        <v>2450</v>
      </c>
      <c r="M82" s="233">
        <f t="shared" si="27"/>
        <v>2450</v>
      </c>
      <c r="O82" s="216"/>
      <c r="P82" s="216"/>
      <c r="Q82" s="216"/>
      <c r="R82" s="216"/>
      <c r="S82" s="216">
        <f t="shared" si="28"/>
        <v>0</v>
      </c>
      <c r="U82" s="199"/>
      <c r="V82" s="199"/>
      <c r="W82" s="199"/>
      <c r="X82" s="199"/>
      <c r="Y82" s="199">
        <f t="shared" si="29"/>
        <v>0</v>
      </c>
      <c r="AA82" s="181"/>
      <c r="AB82" s="181"/>
      <c r="AC82" s="181"/>
      <c r="AD82" s="181"/>
      <c r="AE82" s="181">
        <f t="shared" si="30"/>
        <v>0</v>
      </c>
      <c r="AG82" s="163"/>
      <c r="AH82" s="163"/>
      <c r="AI82" s="163"/>
      <c r="AJ82" s="163"/>
      <c r="AK82" s="163">
        <f t="shared" si="31"/>
        <v>0</v>
      </c>
      <c r="AM82" s="107">
        <v>0</v>
      </c>
      <c r="AN82" s="107">
        <v>0</v>
      </c>
      <c r="AO82" s="305">
        <f t="shared" si="22"/>
        <v>0</v>
      </c>
      <c r="AP82" s="107">
        <v>0</v>
      </c>
      <c r="AQ82" s="107">
        <v>0</v>
      </c>
      <c r="AR82" s="107">
        <f t="shared" si="32"/>
        <v>0</v>
      </c>
      <c r="AT82" s="279" t="e">
        <f>+#REF!+I82+O82+U82+AA82+AG82+AM82</f>
        <v>#REF!</v>
      </c>
      <c r="AU82" s="279" t="e">
        <f t="shared" si="23"/>
        <v>#VALUE!</v>
      </c>
      <c r="AV82" s="279">
        <f t="shared" si="20"/>
        <v>0</v>
      </c>
      <c r="AW82" s="279">
        <f t="shared" si="24"/>
        <v>2450</v>
      </c>
      <c r="AX82" s="279">
        <f t="shared" si="25"/>
        <v>2450</v>
      </c>
    </row>
    <row r="83" spans="1:50" ht="18.75">
      <c r="A83" s="43" t="s">
        <v>329</v>
      </c>
      <c r="B83" s="251">
        <v>0</v>
      </c>
      <c r="C83" s="252">
        <v>0</v>
      </c>
      <c r="D83" s="251">
        <v>0</v>
      </c>
      <c r="E83" s="251">
        <v>0</v>
      </c>
      <c r="F83" s="247">
        <f t="shared" si="26"/>
        <v>0</v>
      </c>
      <c r="I83" s="233"/>
      <c r="J83" s="233"/>
      <c r="K83" s="233"/>
      <c r="L83" s="233">
        <v>15000</v>
      </c>
      <c r="M83" s="233">
        <f t="shared" si="27"/>
        <v>15000</v>
      </c>
      <c r="O83" s="216"/>
      <c r="P83" s="216"/>
      <c r="Q83" s="216"/>
      <c r="R83" s="216"/>
      <c r="S83" s="216">
        <f t="shared" si="28"/>
        <v>0</v>
      </c>
      <c r="U83" s="199"/>
      <c r="V83" s="199"/>
      <c r="W83" s="199"/>
      <c r="X83" s="199"/>
      <c r="Y83" s="199">
        <f t="shared" si="29"/>
        <v>0</v>
      </c>
      <c r="AA83" s="181"/>
      <c r="AB83" s="181"/>
      <c r="AC83" s="181"/>
      <c r="AD83" s="181"/>
      <c r="AE83" s="181">
        <f t="shared" si="30"/>
        <v>0</v>
      </c>
      <c r="AG83" s="163"/>
      <c r="AH83" s="163"/>
      <c r="AI83" s="163"/>
      <c r="AJ83" s="163"/>
      <c r="AK83" s="163">
        <f t="shared" si="31"/>
        <v>0</v>
      </c>
      <c r="AM83" s="107">
        <v>0</v>
      </c>
      <c r="AN83" s="107">
        <v>0</v>
      </c>
      <c r="AO83" s="305">
        <f t="shared" si="22"/>
        <v>0</v>
      </c>
      <c r="AP83" s="107">
        <v>0</v>
      </c>
      <c r="AQ83" s="107">
        <v>0</v>
      </c>
      <c r="AR83" s="107">
        <f t="shared" si="32"/>
        <v>0</v>
      </c>
      <c r="AT83" s="279" t="e">
        <f>+#REF!+I83+O83+U83+AA83+AG83+AM83</f>
        <v>#REF!</v>
      </c>
      <c r="AU83" s="279" t="e">
        <f t="shared" si="23"/>
        <v>#VALUE!</v>
      </c>
      <c r="AV83" s="279">
        <f t="shared" si="20"/>
        <v>0</v>
      </c>
      <c r="AW83" s="279">
        <f t="shared" si="24"/>
        <v>15000</v>
      </c>
      <c r="AX83" s="279">
        <f t="shared" si="25"/>
        <v>15000</v>
      </c>
    </row>
    <row r="84" spans="1:50" ht="18.75">
      <c r="A84" s="43" t="s">
        <v>330</v>
      </c>
      <c r="B84" s="251">
        <v>0</v>
      </c>
      <c r="C84" s="252">
        <v>0</v>
      </c>
      <c r="D84" s="251">
        <v>0</v>
      </c>
      <c r="E84" s="251">
        <v>0</v>
      </c>
      <c r="F84" s="247">
        <f t="shared" si="26"/>
        <v>0</v>
      </c>
      <c r="I84" s="233"/>
      <c r="J84" s="233"/>
      <c r="K84" s="233"/>
      <c r="L84" s="233">
        <v>13000</v>
      </c>
      <c r="M84" s="233">
        <f t="shared" si="27"/>
        <v>13000</v>
      </c>
      <c r="O84" s="216"/>
      <c r="P84" s="216"/>
      <c r="Q84" s="216"/>
      <c r="R84" s="216"/>
      <c r="S84" s="216">
        <f t="shared" si="28"/>
        <v>0</v>
      </c>
      <c r="U84" s="199"/>
      <c r="V84" s="199"/>
      <c r="W84" s="199"/>
      <c r="X84" s="199"/>
      <c r="Y84" s="199">
        <f t="shared" si="29"/>
        <v>0</v>
      </c>
      <c r="AA84" s="181"/>
      <c r="AB84" s="181"/>
      <c r="AC84" s="181"/>
      <c r="AD84" s="181"/>
      <c r="AE84" s="181">
        <f t="shared" si="30"/>
        <v>0</v>
      </c>
      <c r="AG84" s="163"/>
      <c r="AH84" s="163"/>
      <c r="AI84" s="163"/>
      <c r="AJ84" s="163"/>
      <c r="AK84" s="163">
        <f t="shared" si="31"/>
        <v>0</v>
      </c>
      <c r="AM84" s="107">
        <v>0</v>
      </c>
      <c r="AN84" s="107">
        <v>0</v>
      </c>
      <c r="AO84" s="305">
        <f t="shared" si="22"/>
        <v>0</v>
      </c>
      <c r="AP84" s="107">
        <v>0</v>
      </c>
      <c r="AQ84" s="107">
        <v>0</v>
      </c>
      <c r="AR84" s="107">
        <f t="shared" si="32"/>
        <v>0</v>
      </c>
      <c r="AT84" s="279" t="e">
        <f>+#REF!+I84+O84+U84+AA84+AG84+AM84</f>
        <v>#REF!</v>
      </c>
      <c r="AU84" s="279" t="e">
        <f t="shared" si="23"/>
        <v>#VALUE!</v>
      </c>
      <c r="AV84" s="279">
        <f t="shared" si="20"/>
        <v>0</v>
      </c>
      <c r="AW84" s="279">
        <f t="shared" si="24"/>
        <v>13000</v>
      </c>
      <c r="AX84" s="279">
        <f t="shared" si="25"/>
        <v>13000</v>
      </c>
    </row>
    <row r="85" spans="1:50" ht="18.75">
      <c r="A85" s="43" t="s">
        <v>331</v>
      </c>
      <c r="B85" s="251">
        <v>0</v>
      </c>
      <c r="C85" s="252">
        <v>0</v>
      </c>
      <c r="D85" s="251">
        <v>0</v>
      </c>
      <c r="E85" s="251">
        <v>0</v>
      </c>
      <c r="F85" s="247">
        <f t="shared" si="26"/>
        <v>0</v>
      </c>
      <c r="I85" s="233"/>
      <c r="J85" s="233"/>
      <c r="K85" s="233"/>
      <c r="L85" s="233">
        <v>50</v>
      </c>
      <c r="M85" s="233">
        <f t="shared" si="27"/>
        <v>50</v>
      </c>
      <c r="O85" s="216"/>
      <c r="P85" s="216"/>
      <c r="Q85" s="216"/>
      <c r="R85" s="216"/>
      <c r="S85" s="216">
        <f t="shared" si="28"/>
        <v>0</v>
      </c>
      <c r="U85" s="199"/>
      <c r="V85" s="199"/>
      <c r="W85" s="199"/>
      <c r="X85" s="199"/>
      <c r="Y85" s="199">
        <f t="shared" si="29"/>
        <v>0</v>
      </c>
      <c r="AA85" s="181"/>
      <c r="AB85" s="181"/>
      <c r="AC85" s="181"/>
      <c r="AD85" s="181"/>
      <c r="AE85" s="181">
        <f t="shared" si="30"/>
        <v>0</v>
      </c>
      <c r="AG85" s="163"/>
      <c r="AH85" s="163"/>
      <c r="AI85" s="163"/>
      <c r="AJ85" s="163"/>
      <c r="AK85" s="163">
        <f t="shared" si="31"/>
        <v>0</v>
      </c>
      <c r="AM85" s="107">
        <v>0</v>
      </c>
      <c r="AN85" s="107">
        <v>0</v>
      </c>
      <c r="AO85" s="305">
        <f t="shared" si="22"/>
        <v>0</v>
      </c>
      <c r="AP85" s="107">
        <v>0</v>
      </c>
      <c r="AQ85" s="107">
        <v>0</v>
      </c>
      <c r="AR85" s="107">
        <f t="shared" si="32"/>
        <v>0</v>
      </c>
      <c r="AT85" s="279" t="e">
        <f>+#REF!+I85+O85+U85+AA85+AG85+AM85</f>
        <v>#REF!</v>
      </c>
      <c r="AU85" s="279" t="e">
        <f t="shared" si="23"/>
        <v>#VALUE!</v>
      </c>
      <c r="AV85" s="279">
        <f t="shared" si="20"/>
        <v>0</v>
      </c>
      <c r="AW85" s="279">
        <f t="shared" si="24"/>
        <v>50</v>
      </c>
      <c r="AX85" s="279">
        <f t="shared" si="25"/>
        <v>50</v>
      </c>
    </row>
    <row r="86" spans="1:50" ht="18.75">
      <c r="A86" s="43" t="s">
        <v>332</v>
      </c>
      <c r="B86" s="251">
        <v>0</v>
      </c>
      <c r="C86" s="252">
        <v>0</v>
      </c>
      <c r="D86" s="251">
        <v>0</v>
      </c>
      <c r="E86" s="251">
        <v>0</v>
      </c>
      <c r="F86" s="247">
        <f t="shared" si="26"/>
        <v>0</v>
      </c>
      <c r="I86" s="233"/>
      <c r="J86" s="233"/>
      <c r="K86" s="233"/>
      <c r="L86" s="233">
        <v>40800</v>
      </c>
      <c r="M86" s="233">
        <f t="shared" si="27"/>
        <v>40800</v>
      </c>
      <c r="O86" s="216"/>
      <c r="P86" s="216"/>
      <c r="Q86" s="216"/>
      <c r="R86" s="216"/>
      <c r="S86" s="216">
        <f t="shared" si="28"/>
        <v>0</v>
      </c>
      <c r="U86" s="199"/>
      <c r="V86" s="199"/>
      <c r="W86" s="199"/>
      <c r="X86" s="199">
        <v>50000</v>
      </c>
      <c r="Y86" s="199">
        <f t="shared" si="29"/>
        <v>50000</v>
      </c>
      <c r="AA86" s="181"/>
      <c r="AB86" s="181"/>
      <c r="AC86" s="181"/>
      <c r="AD86" s="181"/>
      <c r="AE86" s="181">
        <f t="shared" si="30"/>
        <v>0</v>
      </c>
      <c r="AG86" s="163"/>
      <c r="AH86" s="163"/>
      <c r="AI86" s="163"/>
      <c r="AJ86" s="163"/>
      <c r="AK86" s="163">
        <f t="shared" si="31"/>
        <v>0</v>
      </c>
      <c r="AM86" s="107">
        <v>0</v>
      </c>
      <c r="AN86" s="107">
        <v>207130</v>
      </c>
      <c r="AO86" s="305">
        <f t="shared" si="22"/>
        <v>207130</v>
      </c>
      <c r="AP86" s="107">
        <v>0</v>
      </c>
      <c r="AQ86" s="107">
        <v>262130</v>
      </c>
      <c r="AR86" s="107">
        <f t="shared" si="32"/>
        <v>262130</v>
      </c>
      <c r="AT86" s="279" t="e">
        <f>+#REF!+I86+O86+U86+AA86+AG86+AM86</f>
        <v>#REF!</v>
      </c>
      <c r="AU86" s="279" t="e">
        <f t="shared" si="23"/>
        <v>#VALUE!</v>
      </c>
      <c r="AV86" s="279">
        <f t="shared" si="20"/>
        <v>0</v>
      </c>
      <c r="AW86" s="279">
        <f t="shared" si="24"/>
        <v>352930</v>
      </c>
      <c r="AX86" s="279">
        <f t="shared" si="25"/>
        <v>352930</v>
      </c>
    </row>
    <row r="87" spans="1:50" ht="18.75">
      <c r="A87" s="43" t="s">
        <v>333</v>
      </c>
      <c r="B87" s="251">
        <v>0</v>
      </c>
      <c r="C87" s="252">
        <v>0</v>
      </c>
      <c r="D87" s="251">
        <v>0</v>
      </c>
      <c r="E87" s="251">
        <v>0</v>
      </c>
      <c r="F87" s="247">
        <f t="shared" si="26"/>
        <v>0</v>
      </c>
      <c r="I87" s="233"/>
      <c r="J87" s="233"/>
      <c r="K87" s="233"/>
      <c r="L87" s="233">
        <v>15000</v>
      </c>
      <c r="M87" s="233">
        <f t="shared" si="27"/>
        <v>15000</v>
      </c>
      <c r="O87" s="216"/>
      <c r="P87" s="216"/>
      <c r="Q87" s="216"/>
      <c r="R87" s="216"/>
      <c r="S87" s="216">
        <f t="shared" si="28"/>
        <v>0</v>
      </c>
      <c r="U87" s="199"/>
      <c r="V87" s="199"/>
      <c r="W87" s="199"/>
      <c r="X87" s="199"/>
      <c r="Y87" s="199">
        <f t="shared" si="29"/>
        <v>0</v>
      </c>
      <c r="AA87" s="181"/>
      <c r="AB87" s="181"/>
      <c r="AC87" s="181"/>
      <c r="AD87" s="181"/>
      <c r="AE87" s="181">
        <f t="shared" si="30"/>
        <v>0</v>
      </c>
      <c r="AG87" s="163"/>
      <c r="AH87" s="163"/>
      <c r="AI87" s="163"/>
      <c r="AJ87" s="163"/>
      <c r="AK87" s="163">
        <f t="shared" si="31"/>
        <v>0</v>
      </c>
      <c r="AM87" s="107">
        <v>0</v>
      </c>
      <c r="AN87" s="107">
        <v>0</v>
      </c>
      <c r="AO87" s="305">
        <f t="shared" si="22"/>
        <v>0</v>
      </c>
      <c r="AP87" s="107">
        <v>0</v>
      </c>
      <c r="AQ87" s="107">
        <v>0</v>
      </c>
      <c r="AR87" s="107">
        <f t="shared" si="32"/>
        <v>0</v>
      </c>
      <c r="AT87" s="279" t="e">
        <f>+#REF!+I87+O87+U87+AA87+AG87+AM87</f>
        <v>#REF!</v>
      </c>
      <c r="AU87" s="279" t="e">
        <f t="shared" si="23"/>
        <v>#VALUE!</v>
      </c>
      <c r="AV87" s="279">
        <f t="shared" si="20"/>
        <v>0</v>
      </c>
      <c r="AW87" s="279">
        <f t="shared" si="24"/>
        <v>15000</v>
      </c>
      <c r="AX87" s="279">
        <f t="shared" si="25"/>
        <v>15000</v>
      </c>
    </row>
    <row r="88" spans="1:50" ht="18.75">
      <c r="A88" s="43" t="s">
        <v>334</v>
      </c>
      <c r="B88" s="251">
        <v>0</v>
      </c>
      <c r="C88" s="252">
        <v>0</v>
      </c>
      <c r="D88" s="251">
        <v>0</v>
      </c>
      <c r="E88" s="251">
        <v>0</v>
      </c>
      <c r="F88" s="247">
        <f t="shared" si="26"/>
        <v>0</v>
      </c>
      <c r="I88" s="233"/>
      <c r="J88" s="233"/>
      <c r="K88" s="233"/>
      <c r="L88" s="233">
        <v>10068</v>
      </c>
      <c r="M88" s="233">
        <f t="shared" si="27"/>
        <v>10068</v>
      </c>
      <c r="O88" s="216"/>
      <c r="P88" s="216"/>
      <c r="Q88" s="216"/>
      <c r="R88" s="216"/>
      <c r="S88" s="216">
        <f t="shared" si="28"/>
        <v>0</v>
      </c>
      <c r="U88" s="199"/>
      <c r="V88" s="199"/>
      <c r="W88" s="199"/>
      <c r="X88" s="199"/>
      <c r="Y88" s="199">
        <f t="shared" si="29"/>
        <v>0</v>
      </c>
      <c r="AA88" s="181"/>
      <c r="AB88" s="181"/>
      <c r="AC88" s="181"/>
      <c r="AD88" s="181"/>
      <c r="AE88" s="181">
        <f t="shared" si="30"/>
        <v>0</v>
      </c>
      <c r="AG88" s="163"/>
      <c r="AH88" s="163"/>
      <c r="AI88" s="163"/>
      <c r="AJ88" s="163"/>
      <c r="AK88" s="163">
        <f t="shared" si="31"/>
        <v>0</v>
      </c>
      <c r="AM88" s="107">
        <v>0</v>
      </c>
      <c r="AN88" s="107">
        <v>0</v>
      </c>
      <c r="AO88" s="305">
        <f t="shared" si="22"/>
        <v>0</v>
      </c>
      <c r="AP88" s="107">
        <v>0</v>
      </c>
      <c r="AQ88" s="107">
        <v>0</v>
      </c>
      <c r="AR88" s="107">
        <f t="shared" si="32"/>
        <v>0</v>
      </c>
      <c r="AT88" s="279" t="e">
        <f>+#REF!+I88+O88+U88+AA88+AG88+AM88</f>
        <v>#REF!</v>
      </c>
      <c r="AU88" s="279" t="e">
        <f t="shared" si="23"/>
        <v>#VALUE!</v>
      </c>
      <c r="AV88" s="279">
        <f t="shared" si="20"/>
        <v>0</v>
      </c>
      <c r="AW88" s="279">
        <f t="shared" si="24"/>
        <v>10068</v>
      </c>
      <c r="AX88" s="279">
        <f t="shared" si="25"/>
        <v>10068</v>
      </c>
    </row>
    <row r="89" spans="1:50" ht="18.75">
      <c r="A89" s="51" t="s">
        <v>463</v>
      </c>
      <c r="B89" s="248" t="s">
        <v>56</v>
      </c>
      <c r="C89" s="249" t="s">
        <v>57</v>
      </c>
      <c r="D89" s="248" t="s">
        <v>56</v>
      </c>
      <c r="E89" s="248" t="s">
        <v>57</v>
      </c>
      <c r="F89" s="250"/>
      <c r="G89" s="97"/>
      <c r="I89" s="232" t="s">
        <v>56</v>
      </c>
      <c r="J89" s="232" t="s">
        <v>57</v>
      </c>
      <c r="K89" s="232" t="s">
        <v>56</v>
      </c>
      <c r="L89" s="232" t="s">
        <v>57</v>
      </c>
      <c r="M89" s="232" t="s">
        <v>101</v>
      </c>
      <c r="O89" s="215" t="s">
        <v>56</v>
      </c>
      <c r="P89" s="215" t="s">
        <v>57</v>
      </c>
      <c r="Q89" s="215" t="s">
        <v>56</v>
      </c>
      <c r="R89" s="215" t="s">
        <v>57</v>
      </c>
      <c r="S89" s="215" t="s">
        <v>101</v>
      </c>
      <c r="U89" s="198" t="s">
        <v>56</v>
      </c>
      <c r="V89" s="198" t="s">
        <v>57</v>
      </c>
      <c r="W89" s="198" t="s">
        <v>56</v>
      </c>
      <c r="X89" s="198" t="s">
        <v>57</v>
      </c>
      <c r="Y89" s="198" t="s">
        <v>101</v>
      </c>
      <c r="AA89" s="180" t="s">
        <v>56</v>
      </c>
      <c r="AB89" s="180" t="s">
        <v>57</v>
      </c>
      <c r="AC89" s="180" t="s">
        <v>56</v>
      </c>
      <c r="AD89" s="180" t="s">
        <v>57</v>
      </c>
      <c r="AE89" s="180" t="s">
        <v>101</v>
      </c>
      <c r="AF89" s="97"/>
      <c r="AG89" s="162" t="s">
        <v>56</v>
      </c>
      <c r="AH89" s="162" t="s">
        <v>57</v>
      </c>
      <c r="AI89" s="162" t="s">
        <v>56</v>
      </c>
      <c r="AJ89" s="162" t="s">
        <v>57</v>
      </c>
      <c r="AK89" s="162" t="s">
        <v>101</v>
      </c>
      <c r="AM89" s="18" t="s">
        <v>56</v>
      </c>
      <c r="AN89" s="18" t="s">
        <v>57</v>
      </c>
      <c r="AO89" s="18" t="s">
        <v>101</v>
      </c>
      <c r="AP89" s="18" t="s">
        <v>56</v>
      </c>
      <c r="AQ89" s="18" t="s">
        <v>57</v>
      </c>
      <c r="AR89" s="18" t="s">
        <v>101</v>
      </c>
      <c r="AT89" s="278" t="s">
        <v>56</v>
      </c>
      <c r="AU89" s="278" t="s">
        <v>57</v>
      </c>
      <c r="AV89" s="278" t="s">
        <v>56</v>
      </c>
      <c r="AW89" s="278" t="s">
        <v>57</v>
      </c>
      <c r="AX89" s="278" t="s">
        <v>101</v>
      </c>
    </row>
    <row r="90" spans="1:50" ht="18.75">
      <c r="A90" s="43" t="s">
        <v>356</v>
      </c>
      <c r="B90" s="251">
        <v>0</v>
      </c>
      <c r="C90" s="252">
        <v>0</v>
      </c>
      <c r="D90" s="251">
        <v>0</v>
      </c>
      <c r="E90" s="251">
        <v>0</v>
      </c>
      <c r="F90" s="247">
        <f t="shared" si="26"/>
        <v>0</v>
      </c>
      <c r="I90" s="233"/>
      <c r="J90" s="233"/>
      <c r="K90" s="233"/>
      <c r="L90" s="233">
        <v>124488</v>
      </c>
      <c r="M90" s="233">
        <f t="shared" si="27"/>
        <v>124488</v>
      </c>
      <c r="O90" s="216"/>
      <c r="P90" s="216"/>
      <c r="Q90" s="216"/>
      <c r="R90" s="216"/>
      <c r="S90" s="216">
        <f t="shared" si="28"/>
        <v>0</v>
      </c>
      <c r="U90" s="199"/>
      <c r="V90" s="199"/>
      <c r="W90" s="199"/>
      <c r="X90" s="199"/>
      <c r="Y90" s="199">
        <f t="shared" si="29"/>
        <v>0</v>
      </c>
      <c r="AA90" s="181"/>
      <c r="AB90" s="181"/>
      <c r="AC90" s="181"/>
      <c r="AD90" s="181">
        <f>538925.7+121225</f>
        <v>660150.7</v>
      </c>
      <c r="AE90" s="181">
        <f t="shared" si="30"/>
        <v>660150.7</v>
      </c>
      <c r="AG90" s="163"/>
      <c r="AH90" s="163"/>
      <c r="AI90" s="163"/>
      <c r="AJ90" s="163"/>
      <c r="AK90" s="163">
        <f t="shared" si="31"/>
        <v>0</v>
      </c>
      <c r="AM90" s="107">
        <v>0</v>
      </c>
      <c r="AN90" s="107">
        <v>25000</v>
      </c>
      <c r="AO90" s="305">
        <f t="shared" si="22"/>
        <v>25000</v>
      </c>
      <c r="AP90" s="107">
        <v>0</v>
      </c>
      <c r="AQ90" s="107">
        <v>25000</v>
      </c>
      <c r="AR90" s="107">
        <f t="shared" si="32"/>
        <v>25000</v>
      </c>
      <c r="AT90" s="279" t="e">
        <f>+#REF!+I90+O90+U90+AA90+AG90+AM90</f>
        <v>#REF!</v>
      </c>
      <c r="AU90" s="279" t="e">
        <f t="shared" si="23"/>
        <v>#VALUE!</v>
      </c>
      <c r="AV90" s="279">
        <f t="shared" si="20"/>
        <v>0</v>
      </c>
      <c r="AW90" s="279">
        <f t="shared" si="24"/>
        <v>809638.7</v>
      </c>
      <c r="AX90" s="279">
        <f t="shared" si="25"/>
        <v>809638.7</v>
      </c>
    </row>
    <row r="91" spans="1:50" ht="18.75">
      <c r="A91" s="43" t="s">
        <v>335</v>
      </c>
      <c r="B91" s="251">
        <v>0</v>
      </c>
      <c r="C91" s="252">
        <v>0</v>
      </c>
      <c r="D91" s="251">
        <v>0</v>
      </c>
      <c r="E91" s="251">
        <v>0</v>
      </c>
      <c r="F91" s="247">
        <f t="shared" si="26"/>
        <v>0</v>
      </c>
      <c r="I91" s="233"/>
      <c r="J91" s="233"/>
      <c r="K91" s="233"/>
      <c r="L91" s="233">
        <v>50000</v>
      </c>
      <c r="M91" s="233">
        <f t="shared" si="27"/>
        <v>50000</v>
      </c>
      <c r="O91" s="216"/>
      <c r="P91" s="216"/>
      <c r="Q91" s="216"/>
      <c r="R91" s="216"/>
      <c r="S91" s="216">
        <f t="shared" si="28"/>
        <v>0</v>
      </c>
      <c r="U91" s="199"/>
      <c r="V91" s="199"/>
      <c r="W91" s="199"/>
      <c r="X91" s="199">
        <v>1000</v>
      </c>
      <c r="Y91" s="199">
        <f t="shared" si="29"/>
        <v>1000</v>
      </c>
      <c r="AA91" s="181"/>
      <c r="AB91" s="181"/>
      <c r="AC91" s="181"/>
      <c r="AD91" s="181"/>
      <c r="AE91" s="181">
        <f t="shared" si="30"/>
        <v>0</v>
      </c>
      <c r="AG91" s="163"/>
      <c r="AH91" s="163"/>
      <c r="AI91" s="163"/>
      <c r="AJ91" s="163"/>
      <c r="AK91" s="163">
        <f t="shared" si="31"/>
        <v>0</v>
      </c>
      <c r="AM91" s="107">
        <v>0</v>
      </c>
      <c r="AN91" s="107">
        <v>0</v>
      </c>
      <c r="AO91" s="305">
        <f t="shared" si="22"/>
        <v>0</v>
      </c>
      <c r="AP91" s="107">
        <v>0</v>
      </c>
      <c r="AQ91" s="107">
        <v>54050</v>
      </c>
      <c r="AR91" s="107">
        <f t="shared" si="32"/>
        <v>54050</v>
      </c>
      <c r="AT91" s="279" t="e">
        <f>+#REF!+I91+O91+U91+AA91+AG91+AM91</f>
        <v>#REF!</v>
      </c>
      <c r="AU91" s="279" t="e">
        <f t="shared" si="23"/>
        <v>#VALUE!</v>
      </c>
      <c r="AV91" s="279">
        <f t="shared" si="20"/>
        <v>0</v>
      </c>
      <c r="AW91" s="279">
        <f t="shared" si="24"/>
        <v>105050</v>
      </c>
      <c r="AX91" s="279">
        <f t="shared" si="25"/>
        <v>105050</v>
      </c>
    </row>
    <row r="92" spans="1:50" ht="18.75">
      <c r="A92" s="43" t="s">
        <v>336</v>
      </c>
      <c r="B92" s="251">
        <v>0</v>
      </c>
      <c r="C92" s="252">
        <v>0</v>
      </c>
      <c r="D92" s="251">
        <v>0</v>
      </c>
      <c r="E92" s="251">
        <v>0</v>
      </c>
      <c r="F92" s="247">
        <f t="shared" si="26"/>
        <v>0</v>
      </c>
      <c r="I92" s="233"/>
      <c r="J92" s="233"/>
      <c r="K92" s="233"/>
      <c r="L92" s="233">
        <v>23250.24</v>
      </c>
      <c r="M92" s="233">
        <f t="shared" si="27"/>
        <v>23250.24</v>
      </c>
      <c r="O92" s="216"/>
      <c r="P92" s="216"/>
      <c r="Q92" s="216"/>
      <c r="R92" s="216"/>
      <c r="S92" s="216">
        <f t="shared" si="28"/>
        <v>0</v>
      </c>
      <c r="U92" s="199"/>
      <c r="V92" s="199"/>
      <c r="W92" s="199"/>
      <c r="X92" s="199">
        <v>28227.87</v>
      </c>
      <c r="Y92" s="199">
        <f t="shared" si="29"/>
        <v>28227.87</v>
      </c>
      <c r="AA92" s="181"/>
      <c r="AB92" s="181"/>
      <c r="AC92" s="181"/>
      <c r="AD92" s="181">
        <v>86641.48</v>
      </c>
      <c r="AE92" s="181">
        <f t="shared" si="30"/>
        <v>86641.48</v>
      </c>
      <c r="AG92" s="163"/>
      <c r="AH92" s="163"/>
      <c r="AI92" s="163"/>
      <c r="AJ92" s="163"/>
      <c r="AK92" s="163">
        <f t="shared" si="31"/>
        <v>0</v>
      </c>
      <c r="AM92" s="107">
        <v>0</v>
      </c>
      <c r="AN92" s="107">
        <v>10633.47</v>
      </c>
      <c r="AO92" s="305">
        <f t="shared" si="22"/>
        <v>10633.47</v>
      </c>
      <c r="AP92" s="107">
        <v>0</v>
      </c>
      <c r="AQ92" s="107">
        <v>22875.61</v>
      </c>
      <c r="AR92" s="107">
        <f t="shared" si="32"/>
        <v>22875.61</v>
      </c>
      <c r="AT92" s="279" t="e">
        <f>+#REF!+I92+O92+U92+AA92+AG92+AM92</f>
        <v>#REF!</v>
      </c>
      <c r="AU92" s="279" t="e">
        <f t="shared" si="23"/>
        <v>#VALUE!</v>
      </c>
      <c r="AV92" s="279">
        <f t="shared" si="20"/>
        <v>0</v>
      </c>
      <c r="AW92" s="279">
        <f t="shared" si="24"/>
        <v>160995.2</v>
      </c>
      <c r="AX92" s="279">
        <f t="shared" si="25"/>
        <v>160995.2</v>
      </c>
    </row>
    <row r="93" spans="1:50" ht="18.75">
      <c r="A93" s="43" t="s">
        <v>339</v>
      </c>
      <c r="B93" s="258">
        <v>0</v>
      </c>
      <c r="C93" s="259">
        <v>0</v>
      </c>
      <c r="D93" s="258">
        <v>0</v>
      </c>
      <c r="E93" s="258">
        <v>0</v>
      </c>
      <c r="F93" s="247">
        <f t="shared" si="26"/>
        <v>0</v>
      </c>
      <c r="I93" s="237"/>
      <c r="J93" s="237"/>
      <c r="K93" s="237"/>
      <c r="L93" s="237">
        <v>2026.45</v>
      </c>
      <c r="M93" s="233">
        <f>SUM(K93:L93)</f>
        <v>2026.45</v>
      </c>
      <c r="O93" s="219"/>
      <c r="P93" s="219"/>
      <c r="Q93" s="219"/>
      <c r="R93" s="219"/>
      <c r="S93" s="216">
        <f>SUM(Q93:R93)</f>
        <v>0</v>
      </c>
      <c r="U93" s="202"/>
      <c r="V93" s="202"/>
      <c r="W93" s="202"/>
      <c r="X93" s="202"/>
      <c r="Y93" s="199">
        <f>SUM(W93:X93)</f>
        <v>0</v>
      </c>
      <c r="AA93" s="184"/>
      <c r="AB93" s="184"/>
      <c r="AC93" s="184"/>
      <c r="AD93" s="184"/>
      <c r="AE93" s="181">
        <f>SUM(AC93:AD93)</f>
        <v>0</v>
      </c>
      <c r="AG93" s="166"/>
      <c r="AH93" s="166"/>
      <c r="AI93" s="166"/>
      <c r="AJ93" s="166"/>
      <c r="AK93" s="163">
        <f>SUM(AI93:AJ93)</f>
        <v>0</v>
      </c>
      <c r="AM93" s="299">
        <v>0</v>
      </c>
      <c r="AN93" s="299">
        <v>0</v>
      </c>
      <c r="AO93" s="305">
        <f t="shared" si="22"/>
        <v>0</v>
      </c>
      <c r="AP93" s="299">
        <v>0</v>
      </c>
      <c r="AQ93" s="299">
        <v>0</v>
      </c>
      <c r="AR93" s="107">
        <f>SUM(AP93:AQ93)</f>
        <v>0</v>
      </c>
      <c r="AT93" s="279" t="e">
        <f>+#REF!+I93+O93+U93+AA93+AG93+AM93</f>
        <v>#REF!</v>
      </c>
      <c r="AU93" s="279" t="e">
        <f t="shared" si="23"/>
        <v>#VALUE!</v>
      </c>
      <c r="AV93" s="279">
        <f t="shared" si="20"/>
        <v>0</v>
      </c>
      <c r="AW93" s="279">
        <f t="shared" si="24"/>
        <v>2026.45</v>
      </c>
      <c r="AX93" s="279">
        <f t="shared" si="25"/>
        <v>2026.45</v>
      </c>
    </row>
    <row r="94" spans="1:50" ht="18.75">
      <c r="A94" s="43" t="s">
        <v>351</v>
      </c>
      <c r="B94" s="258">
        <v>0</v>
      </c>
      <c r="C94" s="259">
        <v>0</v>
      </c>
      <c r="D94" s="258">
        <v>0</v>
      </c>
      <c r="E94" s="258">
        <v>0</v>
      </c>
      <c r="F94" s="247">
        <f t="shared" si="26"/>
        <v>0</v>
      </c>
      <c r="I94" s="237"/>
      <c r="J94" s="237"/>
      <c r="K94" s="237"/>
      <c r="L94" s="237"/>
      <c r="M94" s="233"/>
      <c r="O94" s="219"/>
      <c r="P94" s="219"/>
      <c r="Q94" s="219"/>
      <c r="R94" s="219"/>
      <c r="S94" s="216"/>
      <c r="U94" s="202"/>
      <c r="V94" s="202"/>
      <c r="W94" s="202"/>
      <c r="X94" s="202">
        <v>4500</v>
      </c>
      <c r="Y94" s="199">
        <f>SUM(W94:X94)</f>
        <v>4500</v>
      </c>
      <c r="AA94" s="184"/>
      <c r="AB94" s="184"/>
      <c r="AC94" s="184"/>
      <c r="AD94" s="184"/>
      <c r="AE94" s="181">
        <f>SUM(AC94:AD94)</f>
        <v>0</v>
      </c>
      <c r="AG94" s="166"/>
      <c r="AH94" s="166"/>
      <c r="AI94" s="166"/>
      <c r="AJ94" s="166"/>
      <c r="AK94" s="163">
        <f aca="true" t="shared" si="33" ref="AK94:AK107">SUM(AI94:AJ94)</f>
        <v>0</v>
      </c>
      <c r="AM94" s="299">
        <v>0</v>
      </c>
      <c r="AN94" s="299">
        <v>0</v>
      </c>
      <c r="AO94" s="305">
        <f t="shared" si="22"/>
        <v>0</v>
      </c>
      <c r="AP94" s="299">
        <v>0</v>
      </c>
      <c r="AQ94" s="299">
        <v>0</v>
      </c>
      <c r="AR94" s="107">
        <f aca="true" t="shared" si="34" ref="AR94:AR107">SUM(AP94:AQ94)</f>
        <v>0</v>
      </c>
      <c r="AT94" s="279" t="e">
        <f>+#REF!+I94+O94+U94+AA94+AG94+AM94</f>
        <v>#REF!</v>
      </c>
      <c r="AU94" s="279" t="e">
        <f t="shared" si="23"/>
        <v>#VALUE!</v>
      </c>
      <c r="AV94" s="279">
        <f t="shared" si="20"/>
        <v>0</v>
      </c>
      <c r="AW94" s="279">
        <f t="shared" si="24"/>
        <v>4500</v>
      </c>
      <c r="AX94" s="279">
        <f t="shared" si="25"/>
        <v>4500</v>
      </c>
    </row>
    <row r="95" spans="1:50" ht="18.75">
      <c r="A95" s="43" t="s">
        <v>352</v>
      </c>
      <c r="B95" s="258">
        <v>0</v>
      </c>
      <c r="C95" s="259">
        <v>0</v>
      </c>
      <c r="D95" s="258">
        <v>0</v>
      </c>
      <c r="E95" s="258">
        <v>0</v>
      </c>
      <c r="F95" s="247">
        <f t="shared" si="26"/>
        <v>0</v>
      </c>
      <c r="I95" s="237"/>
      <c r="J95" s="237"/>
      <c r="K95" s="237"/>
      <c r="L95" s="237"/>
      <c r="M95" s="233"/>
      <c r="O95" s="219"/>
      <c r="P95" s="219"/>
      <c r="Q95" s="219"/>
      <c r="R95" s="219"/>
      <c r="S95" s="216"/>
      <c r="U95" s="202"/>
      <c r="V95" s="202"/>
      <c r="W95" s="202"/>
      <c r="X95" s="202">
        <v>64458</v>
      </c>
      <c r="Y95" s="199">
        <f>SUM(W95:X95)</f>
        <v>64458</v>
      </c>
      <c r="AA95" s="184"/>
      <c r="AB95" s="184"/>
      <c r="AC95" s="184"/>
      <c r="AD95" s="184"/>
      <c r="AE95" s="181">
        <f>SUM(AC95:AD95)</f>
        <v>0</v>
      </c>
      <c r="AG95" s="166"/>
      <c r="AH95" s="166"/>
      <c r="AI95" s="166"/>
      <c r="AJ95" s="166"/>
      <c r="AK95" s="163">
        <f t="shared" si="33"/>
        <v>0</v>
      </c>
      <c r="AM95" s="299">
        <v>0</v>
      </c>
      <c r="AN95" s="299">
        <v>0</v>
      </c>
      <c r="AO95" s="305">
        <f t="shared" si="22"/>
        <v>0</v>
      </c>
      <c r="AP95" s="299">
        <v>0</v>
      </c>
      <c r="AQ95" s="299">
        <v>0</v>
      </c>
      <c r="AR95" s="107">
        <f t="shared" si="34"/>
        <v>0</v>
      </c>
      <c r="AT95" s="279" t="e">
        <f>+#REF!+I95+O95+U95+AA95+AG95+AM95</f>
        <v>#REF!</v>
      </c>
      <c r="AU95" s="279" t="e">
        <f t="shared" si="23"/>
        <v>#VALUE!</v>
      </c>
      <c r="AV95" s="279">
        <f t="shared" si="20"/>
        <v>0</v>
      </c>
      <c r="AW95" s="279">
        <f t="shared" si="24"/>
        <v>64458</v>
      </c>
      <c r="AX95" s="279">
        <f t="shared" si="25"/>
        <v>64458</v>
      </c>
    </row>
    <row r="96" spans="1:50" ht="18.75">
      <c r="A96" s="43" t="s">
        <v>560</v>
      </c>
      <c r="B96" s="258">
        <v>0</v>
      </c>
      <c r="C96" s="259">
        <v>0</v>
      </c>
      <c r="D96" s="258">
        <v>0</v>
      </c>
      <c r="E96" s="258">
        <v>0</v>
      </c>
      <c r="F96" s="247">
        <f t="shared" si="26"/>
        <v>0</v>
      </c>
      <c r="I96" s="237"/>
      <c r="J96" s="237"/>
      <c r="K96" s="237"/>
      <c r="L96" s="237"/>
      <c r="M96" s="233"/>
      <c r="O96" s="219"/>
      <c r="P96" s="219"/>
      <c r="Q96" s="219"/>
      <c r="R96" s="219"/>
      <c r="S96" s="216"/>
      <c r="U96" s="202"/>
      <c r="V96" s="202"/>
      <c r="W96" s="202"/>
      <c r="X96" s="202">
        <v>1510</v>
      </c>
      <c r="Y96" s="199">
        <f>SUM(W96:X96)</f>
        <v>1510</v>
      </c>
      <c r="AA96" s="184"/>
      <c r="AB96" s="184"/>
      <c r="AC96" s="184"/>
      <c r="AD96" s="184"/>
      <c r="AE96" s="181">
        <f>SUM(AC96:AD96)</f>
        <v>0</v>
      </c>
      <c r="AG96" s="166"/>
      <c r="AH96" s="166"/>
      <c r="AI96" s="166"/>
      <c r="AJ96" s="166"/>
      <c r="AK96" s="163">
        <f t="shared" si="33"/>
        <v>0</v>
      </c>
      <c r="AM96" s="299">
        <v>0</v>
      </c>
      <c r="AN96" s="299">
        <v>28080</v>
      </c>
      <c r="AO96" s="305">
        <f t="shared" si="22"/>
        <v>28080</v>
      </c>
      <c r="AP96" s="299">
        <v>0</v>
      </c>
      <c r="AQ96" s="299">
        <v>27980</v>
      </c>
      <c r="AR96" s="107">
        <f t="shared" si="34"/>
        <v>27980</v>
      </c>
      <c r="AT96" s="279" t="e">
        <f>+#REF!+I96+O96+U96+AA96+AG96+AM96</f>
        <v>#REF!</v>
      </c>
      <c r="AU96" s="279" t="e">
        <f t="shared" si="23"/>
        <v>#VALUE!</v>
      </c>
      <c r="AV96" s="279">
        <f t="shared" si="20"/>
        <v>0</v>
      </c>
      <c r="AW96" s="279">
        <f t="shared" si="24"/>
        <v>29490</v>
      </c>
      <c r="AX96" s="279">
        <f t="shared" si="25"/>
        <v>29490</v>
      </c>
    </row>
    <row r="97" spans="1:50" ht="18.75">
      <c r="A97" s="43" t="s">
        <v>353</v>
      </c>
      <c r="B97" s="258">
        <v>0</v>
      </c>
      <c r="C97" s="259">
        <v>0</v>
      </c>
      <c r="D97" s="258">
        <v>0</v>
      </c>
      <c r="E97" s="258">
        <v>0</v>
      </c>
      <c r="F97" s="247">
        <f t="shared" si="26"/>
        <v>0</v>
      </c>
      <c r="I97" s="237"/>
      <c r="J97" s="237"/>
      <c r="K97" s="237"/>
      <c r="L97" s="237"/>
      <c r="M97" s="233"/>
      <c r="O97" s="219"/>
      <c r="P97" s="219"/>
      <c r="Q97" s="219"/>
      <c r="R97" s="219"/>
      <c r="S97" s="216"/>
      <c r="U97" s="202"/>
      <c r="V97" s="202"/>
      <c r="W97" s="202"/>
      <c r="X97" s="202">
        <v>600</v>
      </c>
      <c r="Y97" s="199">
        <f>SUM(W97:X97)</f>
        <v>600</v>
      </c>
      <c r="AA97" s="184"/>
      <c r="AB97" s="184"/>
      <c r="AC97" s="184"/>
      <c r="AD97" s="184"/>
      <c r="AE97" s="181">
        <f>SUM(AC97:AD97)</f>
        <v>0</v>
      </c>
      <c r="AG97" s="166"/>
      <c r="AH97" s="166"/>
      <c r="AI97" s="166"/>
      <c r="AJ97" s="166"/>
      <c r="AK97" s="163">
        <f t="shared" si="33"/>
        <v>0</v>
      </c>
      <c r="AM97" s="299">
        <v>0</v>
      </c>
      <c r="AN97" s="299">
        <v>14600</v>
      </c>
      <c r="AO97" s="305">
        <f t="shared" si="22"/>
        <v>14600</v>
      </c>
      <c r="AP97" s="299">
        <v>0</v>
      </c>
      <c r="AQ97" s="299">
        <v>14600</v>
      </c>
      <c r="AR97" s="107">
        <f t="shared" si="34"/>
        <v>14600</v>
      </c>
      <c r="AT97" s="279" t="e">
        <f>+#REF!+I97+O97+U97+AA97+AG97+AM97</f>
        <v>#REF!</v>
      </c>
      <c r="AU97" s="279" t="e">
        <f t="shared" si="23"/>
        <v>#VALUE!</v>
      </c>
      <c r="AV97" s="279">
        <f t="shared" si="20"/>
        <v>0</v>
      </c>
      <c r="AW97" s="279">
        <f t="shared" si="24"/>
        <v>15200</v>
      </c>
      <c r="AX97" s="279">
        <f t="shared" si="25"/>
        <v>15200</v>
      </c>
    </row>
    <row r="98" spans="1:50" ht="18.75">
      <c r="A98" s="43" t="s">
        <v>358</v>
      </c>
      <c r="B98" s="258">
        <v>0</v>
      </c>
      <c r="C98" s="259">
        <v>0</v>
      </c>
      <c r="D98" s="258">
        <v>0</v>
      </c>
      <c r="E98" s="258">
        <v>0</v>
      </c>
      <c r="F98" s="247">
        <f t="shared" si="26"/>
        <v>0</v>
      </c>
      <c r="I98" s="237"/>
      <c r="J98" s="237"/>
      <c r="K98" s="237"/>
      <c r="L98" s="237"/>
      <c r="M98" s="233"/>
      <c r="O98" s="219"/>
      <c r="P98" s="219"/>
      <c r="Q98" s="219"/>
      <c r="R98" s="219"/>
      <c r="S98" s="216"/>
      <c r="U98" s="202"/>
      <c r="V98" s="202"/>
      <c r="W98" s="202"/>
      <c r="X98" s="202"/>
      <c r="Y98" s="199"/>
      <c r="AA98" s="184"/>
      <c r="AB98" s="184"/>
      <c r="AC98" s="184"/>
      <c r="AD98" s="184"/>
      <c r="AE98" s="181"/>
      <c r="AG98" s="166"/>
      <c r="AH98" s="166"/>
      <c r="AI98" s="166"/>
      <c r="AJ98" s="166"/>
      <c r="AK98" s="163">
        <f t="shared" si="33"/>
        <v>0</v>
      </c>
      <c r="AM98" s="299">
        <v>0</v>
      </c>
      <c r="AN98" s="299">
        <v>0</v>
      </c>
      <c r="AO98" s="305">
        <f t="shared" si="22"/>
        <v>0</v>
      </c>
      <c r="AP98" s="299">
        <v>0</v>
      </c>
      <c r="AQ98" s="299">
        <v>46228</v>
      </c>
      <c r="AR98" s="107">
        <f t="shared" si="34"/>
        <v>46228</v>
      </c>
      <c r="AT98" s="279" t="e">
        <f>+#REF!+I98+O98+U98+AA98+AG98+AM98</f>
        <v>#REF!</v>
      </c>
      <c r="AU98" s="279" t="e">
        <f t="shared" si="23"/>
        <v>#VALUE!</v>
      </c>
      <c r="AV98" s="279">
        <f t="shared" si="20"/>
        <v>0</v>
      </c>
      <c r="AW98" s="279">
        <f t="shared" si="24"/>
        <v>46228</v>
      </c>
      <c r="AX98" s="279">
        <f t="shared" si="25"/>
        <v>46228</v>
      </c>
    </row>
    <row r="99" spans="1:50" ht="18.75">
      <c r="A99" s="43" t="s">
        <v>359</v>
      </c>
      <c r="B99" s="258">
        <v>0</v>
      </c>
      <c r="C99" s="259">
        <v>0</v>
      </c>
      <c r="D99" s="258">
        <v>0</v>
      </c>
      <c r="E99" s="258">
        <v>0</v>
      </c>
      <c r="F99" s="247">
        <f t="shared" si="26"/>
        <v>0</v>
      </c>
      <c r="I99" s="237"/>
      <c r="J99" s="237"/>
      <c r="K99" s="237"/>
      <c r="L99" s="237"/>
      <c r="M99" s="233"/>
      <c r="O99" s="219"/>
      <c r="P99" s="219"/>
      <c r="Q99" s="219"/>
      <c r="R99" s="219"/>
      <c r="S99" s="216"/>
      <c r="U99" s="202"/>
      <c r="V99" s="202"/>
      <c r="W99" s="202"/>
      <c r="X99" s="202"/>
      <c r="Y99" s="199"/>
      <c r="AA99" s="184"/>
      <c r="AB99" s="184"/>
      <c r="AC99" s="184"/>
      <c r="AD99" s="184"/>
      <c r="AE99" s="181"/>
      <c r="AG99" s="166"/>
      <c r="AH99" s="166"/>
      <c r="AI99" s="166"/>
      <c r="AJ99" s="166"/>
      <c r="AK99" s="163">
        <f t="shared" si="33"/>
        <v>0</v>
      </c>
      <c r="AM99" s="299">
        <v>0</v>
      </c>
      <c r="AN99" s="299">
        <v>70577.03</v>
      </c>
      <c r="AO99" s="305">
        <f t="shared" si="22"/>
        <v>70577.03</v>
      </c>
      <c r="AP99" s="299">
        <v>0</v>
      </c>
      <c r="AQ99" s="299">
        <v>70577.03</v>
      </c>
      <c r="AR99" s="107">
        <f t="shared" si="34"/>
        <v>70577.03</v>
      </c>
      <c r="AT99" s="279" t="e">
        <f>+#REF!+I99+O99+U99+AA99+AG99+AM99</f>
        <v>#REF!</v>
      </c>
      <c r="AU99" s="279" t="e">
        <f t="shared" si="23"/>
        <v>#VALUE!</v>
      </c>
      <c r="AV99" s="279">
        <f t="shared" si="20"/>
        <v>0</v>
      </c>
      <c r="AW99" s="279">
        <f t="shared" si="24"/>
        <v>70577.03</v>
      </c>
      <c r="AX99" s="279">
        <f t="shared" si="25"/>
        <v>70577.03</v>
      </c>
    </row>
    <row r="100" spans="1:50" ht="18.75">
      <c r="A100" s="43" t="s">
        <v>360</v>
      </c>
      <c r="B100" s="258">
        <v>0</v>
      </c>
      <c r="C100" s="259">
        <v>0</v>
      </c>
      <c r="D100" s="258">
        <v>0</v>
      </c>
      <c r="E100" s="258">
        <v>0</v>
      </c>
      <c r="F100" s="247">
        <f t="shared" si="26"/>
        <v>0</v>
      </c>
      <c r="I100" s="237"/>
      <c r="J100" s="237"/>
      <c r="K100" s="237"/>
      <c r="L100" s="237"/>
      <c r="M100" s="233"/>
      <c r="O100" s="219"/>
      <c r="P100" s="219"/>
      <c r="Q100" s="219"/>
      <c r="R100" s="219"/>
      <c r="S100" s="216"/>
      <c r="U100" s="202"/>
      <c r="V100" s="202"/>
      <c r="W100" s="202"/>
      <c r="X100" s="202"/>
      <c r="Y100" s="199"/>
      <c r="AA100" s="184"/>
      <c r="AB100" s="184"/>
      <c r="AC100" s="184"/>
      <c r="AD100" s="184"/>
      <c r="AE100" s="181"/>
      <c r="AG100" s="166"/>
      <c r="AH100" s="166"/>
      <c r="AI100" s="166"/>
      <c r="AJ100" s="166"/>
      <c r="AK100" s="163">
        <f t="shared" si="33"/>
        <v>0</v>
      </c>
      <c r="AM100" s="299">
        <v>0</v>
      </c>
      <c r="AN100" s="299">
        <v>0</v>
      </c>
      <c r="AO100" s="305">
        <f t="shared" si="22"/>
        <v>0</v>
      </c>
      <c r="AP100" s="299">
        <v>0</v>
      </c>
      <c r="AQ100" s="299">
        <v>61800</v>
      </c>
      <c r="AR100" s="107">
        <f t="shared" si="34"/>
        <v>61800</v>
      </c>
      <c r="AT100" s="279" t="e">
        <f>+#REF!+I100+O100+U100+AA100+AG100+AM100</f>
        <v>#REF!</v>
      </c>
      <c r="AU100" s="279" t="e">
        <f t="shared" si="23"/>
        <v>#VALUE!</v>
      </c>
      <c r="AV100" s="279">
        <f t="shared" si="20"/>
        <v>0</v>
      </c>
      <c r="AW100" s="279">
        <f t="shared" si="24"/>
        <v>61800</v>
      </c>
      <c r="AX100" s="279">
        <f t="shared" si="25"/>
        <v>61800</v>
      </c>
    </row>
    <row r="101" spans="1:50" ht="18.75">
      <c r="A101" s="43" t="s">
        <v>361</v>
      </c>
      <c r="B101" s="258">
        <v>0</v>
      </c>
      <c r="C101" s="259">
        <v>0</v>
      </c>
      <c r="D101" s="258">
        <v>0</v>
      </c>
      <c r="E101" s="258">
        <v>0</v>
      </c>
      <c r="F101" s="247">
        <f t="shared" si="26"/>
        <v>0</v>
      </c>
      <c r="I101" s="237"/>
      <c r="J101" s="237"/>
      <c r="K101" s="237"/>
      <c r="L101" s="237"/>
      <c r="M101" s="233"/>
      <c r="O101" s="219"/>
      <c r="P101" s="219"/>
      <c r="Q101" s="219"/>
      <c r="R101" s="219"/>
      <c r="S101" s="216"/>
      <c r="U101" s="202"/>
      <c r="V101" s="202"/>
      <c r="W101" s="202"/>
      <c r="X101" s="202"/>
      <c r="Y101" s="199"/>
      <c r="AA101" s="184"/>
      <c r="AB101" s="184"/>
      <c r="AC101" s="184"/>
      <c r="AD101" s="184"/>
      <c r="AE101" s="181"/>
      <c r="AG101" s="166"/>
      <c r="AH101" s="166"/>
      <c r="AI101" s="166"/>
      <c r="AJ101" s="166"/>
      <c r="AK101" s="163">
        <f t="shared" si="33"/>
        <v>0</v>
      </c>
      <c r="AM101" s="299">
        <v>0</v>
      </c>
      <c r="AN101" s="299">
        <v>0</v>
      </c>
      <c r="AO101" s="305">
        <f t="shared" si="22"/>
        <v>0</v>
      </c>
      <c r="AP101" s="299">
        <v>0</v>
      </c>
      <c r="AQ101" s="299">
        <v>51004</v>
      </c>
      <c r="AR101" s="107">
        <f t="shared" si="34"/>
        <v>51004</v>
      </c>
      <c r="AT101" s="279" t="e">
        <f>+#REF!+I101+O101+U101+AA101+AG101+AM101</f>
        <v>#REF!</v>
      </c>
      <c r="AU101" s="279" t="e">
        <f t="shared" si="23"/>
        <v>#VALUE!</v>
      </c>
      <c r="AV101" s="279">
        <f t="shared" si="20"/>
        <v>0</v>
      </c>
      <c r="AW101" s="279">
        <f t="shared" si="24"/>
        <v>51004</v>
      </c>
      <c r="AX101" s="279">
        <f t="shared" si="25"/>
        <v>51004</v>
      </c>
    </row>
    <row r="102" spans="1:50" ht="18.75">
      <c r="A102" s="43" t="s">
        <v>362</v>
      </c>
      <c r="B102" s="258">
        <v>0</v>
      </c>
      <c r="C102" s="259">
        <v>0</v>
      </c>
      <c r="D102" s="258">
        <v>0</v>
      </c>
      <c r="E102" s="258">
        <v>0</v>
      </c>
      <c r="F102" s="247">
        <f t="shared" si="26"/>
        <v>0</v>
      </c>
      <c r="I102" s="237"/>
      <c r="J102" s="237"/>
      <c r="K102" s="237"/>
      <c r="L102" s="237"/>
      <c r="M102" s="233"/>
      <c r="O102" s="219"/>
      <c r="P102" s="219"/>
      <c r="Q102" s="219"/>
      <c r="R102" s="219"/>
      <c r="S102" s="216"/>
      <c r="U102" s="202"/>
      <c r="V102" s="202"/>
      <c r="W102" s="202"/>
      <c r="X102" s="202"/>
      <c r="Y102" s="199"/>
      <c r="AA102" s="184"/>
      <c r="AB102" s="184"/>
      <c r="AC102" s="184"/>
      <c r="AD102" s="184"/>
      <c r="AE102" s="181"/>
      <c r="AG102" s="166"/>
      <c r="AH102" s="166"/>
      <c r="AI102" s="166"/>
      <c r="AJ102" s="166"/>
      <c r="AK102" s="163">
        <f t="shared" si="33"/>
        <v>0</v>
      </c>
      <c r="AM102" s="299">
        <v>0</v>
      </c>
      <c r="AN102" s="107">
        <v>687343.63</v>
      </c>
      <c r="AO102" s="305">
        <f t="shared" si="22"/>
        <v>687343.63</v>
      </c>
      <c r="AP102" s="299">
        <v>0</v>
      </c>
      <c r="AQ102" s="299">
        <v>170793.02</v>
      </c>
      <c r="AR102" s="107">
        <f t="shared" si="34"/>
        <v>170793.02</v>
      </c>
      <c r="AT102" s="279" t="e">
        <f>+#REF!+I102+O102+U102+AA102+AG102+AM102</f>
        <v>#REF!</v>
      </c>
      <c r="AU102" s="279" t="e">
        <f t="shared" si="23"/>
        <v>#VALUE!</v>
      </c>
      <c r="AV102" s="279">
        <f t="shared" si="20"/>
        <v>0</v>
      </c>
      <c r="AW102" s="279">
        <f t="shared" si="24"/>
        <v>170793.02</v>
      </c>
      <c r="AX102" s="279">
        <f t="shared" si="25"/>
        <v>170793.02</v>
      </c>
    </row>
    <row r="103" spans="1:50" ht="18.75">
      <c r="A103" s="43" t="s">
        <v>363</v>
      </c>
      <c r="B103" s="258">
        <v>0</v>
      </c>
      <c r="C103" s="259">
        <v>0</v>
      </c>
      <c r="D103" s="258">
        <v>0</v>
      </c>
      <c r="E103" s="258">
        <v>0</v>
      </c>
      <c r="F103" s="247">
        <f t="shared" si="26"/>
        <v>0</v>
      </c>
      <c r="I103" s="237"/>
      <c r="J103" s="237"/>
      <c r="K103" s="237"/>
      <c r="L103" s="237"/>
      <c r="M103" s="233"/>
      <c r="O103" s="219"/>
      <c r="P103" s="219"/>
      <c r="Q103" s="219"/>
      <c r="R103" s="219"/>
      <c r="S103" s="216"/>
      <c r="U103" s="202"/>
      <c r="V103" s="202"/>
      <c r="W103" s="202"/>
      <c r="X103" s="202"/>
      <c r="Y103" s="199"/>
      <c r="AA103" s="184"/>
      <c r="AB103" s="184"/>
      <c r="AC103" s="184"/>
      <c r="AD103" s="184"/>
      <c r="AE103" s="181"/>
      <c r="AG103" s="166"/>
      <c r="AH103" s="166"/>
      <c r="AI103" s="166"/>
      <c r="AJ103" s="166"/>
      <c r="AK103" s="163">
        <f t="shared" si="33"/>
        <v>0</v>
      </c>
      <c r="AM103" s="299">
        <v>0</v>
      </c>
      <c r="AN103" s="299">
        <v>0</v>
      </c>
      <c r="AO103" s="305">
        <f t="shared" si="22"/>
        <v>0</v>
      </c>
      <c r="AP103" s="299">
        <v>0</v>
      </c>
      <c r="AQ103" s="299">
        <v>2877</v>
      </c>
      <c r="AR103" s="107">
        <f t="shared" si="34"/>
        <v>2877</v>
      </c>
      <c r="AT103" s="279" t="e">
        <f>+#REF!+I103+O103+U103+AA103+AG103+AM103</f>
        <v>#REF!</v>
      </c>
      <c r="AU103" s="279" t="e">
        <f t="shared" si="23"/>
        <v>#VALUE!</v>
      </c>
      <c r="AV103" s="279">
        <f t="shared" si="20"/>
        <v>0</v>
      </c>
      <c r="AW103" s="279">
        <f t="shared" si="24"/>
        <v>2877</v>
      </c>
      <c r="AX103" s="279">
        <f t="shared" si="25"/>
        <v>2877</v>
      </c>
    </row>
    <row r="104" spans="1:50" ht="18.75">
      <c r="A104" s="43" t="s">
        <v>364</v>
      </c>
      <c r="B104" s="258">
        <v>0</v>
      </c>
      <c r="C104" s="259">
        <v>0</v>
      </c>
      <c r="D104" s="258">
        <v>0</v>
      </c>
      <c r="E104" s="258">
        <v>0</v>
      </c>
      <c r="F104" s="247">
        <f t="shared" si="26"/>
        <v>0</v>
      </c>
      <c r="I104" s="237"/>
      <c r="J104" s="237"/>
      <c r="K104" s="237"/>
      <c r="L104" s="237"/>
      <c r="M104" s="233"/>
      <c r="O104" s="219"/>
      <c r="P104" s="219"/>
      <c r="Q104" s="219"/>
      <c r="R104" s="219"/>
      <c r="S104" s="216"/>
      <c r="U104" s="202"/>
      <c r="V104" s="202"/>
      <c r="W104" s="202"/>
      <c r="X104" s="202"/>
      <c r="Y104" s="199"/>
      <c r="AA104" s="184"/>
      <c r="AB104" s="184"/>
      <c r="AC104" s="184"/>
      <c r="AD104" s="184"/>
      <c r="AE104" s="181"/>
      <c r="AG104" s="166"/>
      <c r="AH104" s="166"/>
      <c r="AI104" s="166"/>
      <c r="AJ104" s="166"/>
      <c r="AK104" s="163">
        <f t="shared" si="33"/>
        <v>0</v>
      </c>
      <c r="AM104" s="299">
        <v>0</v>
      </c>
      <c r="AN104" s="299">
        <v>1600</v>
      </c>
      <c r="AO104" s="305">
        <f t="shared" si="22"/>
        <v>1600</v>
      </c>
      <c r="AP104" s="299">
        <v>0</v>
      </c>
      <c r="AQ104" s="299">
        <v>1600</v>
      </c>
      <c r="AR104" s="107">
        <f t="shared" si="34"/>
        <v>1600</v>
      </c>
      <c r="AT104" s="279" t="e">
        <f>+#REF!+I104+O104+U104+AA104+AG104+AM104</f>
        <v>#REF!</v>
      </c>
      <c r="AU104" s="279" t="e">
        <f t="shared" si="23"/>
        <v>#VALUE!</v>
      </c>
      <c r="AV104" s="279">
        <f t="shared" si="20"/>
        <v>0</v>
      </c>
      <c r="AW104" s="279">
        <f t="shared" si="24"/>
        <v>1600</v>
      </c>
      <c r="AX104" s="279">
        <f t="shared" si="25"/>
        <v>1600</v>
      </c>
    </row>
    <row r="105" spans="1:50" ht="18.75">
      <c r="A105" s="43" t="s">
        <v>365</v>
      </c>
      <c r="B105" s="258">
        <v>0</v>
      </c>
      <c r="C105" s="259">
        <v>0</v>
      </c>
      <c r="D105" s="258">
        <v>0</v>
      </c>
      <c r="E105" s="258">
        <v>0</v>
      </c>
      <c r="F105" s="247">
        <f t="shared" si="26"/>
        <v>0</v>
      </c>
      <c r="I105" s="237"/>
      <c r="J105" s="237"/>
      <c r="K105" s="237"/>
      <c r="L105" s="237"/>
      <c r="M105" s="233"/>
      <c r="O105" s="219"/>
      <c r="P105" s="219"/>
      <c r="Q105" s="219"/>
      <c r="R105" s="219"/>
      <c r="S105" s="216"/>
      <c r="U105" s="202"/>
      <c r="V105" s="202"/>
      <c r="W105" s="202"/>
      <c r="X105" s="202"/>
      <c r="Y105" s="199"/>
      <c r="AA105" s="184"/>
      <c r="AB105" s="184"/>
      <c r="AC105" s="184"/>
      <c r="AD105" s="184"/>
      <c r="AE105" s="181"/>
      <c r="AG105" s="166"/>
      <c r="AH105" s="166"/>
      <c r="AI105" s="166"/>
      <c r="AJ105" s="166"/>
      <c r="AK105" s="163">
        <f t="shared" si="33"/>
        <v>0</v>
      </c>
      <c r="AM105" s="299">
        <v>0</v>
      </c>
      <c r="AN105" s="299">
        <v>0</v>
      </c>
      <c r="AO105" s="305">
        <f t="shared" si="22"/>
        <v>0</v>
      </c>
      <c r="AP105" s="299">
        <v>0</v>
      </c>
      <c r="AQ105" s="299">
        <v>98741</v>
      </c>
      <c r="AR105" s="107">
        <f t="shared" si="34"/>
        <v>98741</v>
      </c>
      <c r="AT105" s="279" t="e">
        <f>+#REF!+I105+O105+U105+AA105+AG105+AM105</f>
        <v>#REF!</v>
      </c>
      <c r="AU105" s="279" t="e">
        <f t="shared" si="23"/>
        <v>#VALUE!</v>
      </c>
      <c r="AV105" s="279">
        <f t="shared" si="20"/>
        <v>0</v>
      </c>
      <c r="AW105" s="279">
        <f t="shared" si="24"/>
        <v>98741</v>
      </c>
      <c r="AX105" s="279">
        <f t="shared" si="25"/>
        <v>98741</v>
      </c>
    </row>
    <row r="106" spans="1:50" ht="18.75">
      <c r="A106" s="43" t="s">
        <v>561</v>
      </c>
      <c r="B106" s="258">
        <v>0</v>
      </c>
      <c r="C106" s="259">
        <v>0</v>
      </c>
      <c r="D106" s="258">
        <v>0</v>
      </c>
      <c r="E106" s="258">
        <v>0</v>
      </c>
      <c r="F106" s="247">
        <f t="shared" si="26"/>
        <v>0</v>
      </c>
      <c r="I106" s="237"/>
      <c r="J106" s="237"/>
      <c r="K106" s="237"/>
      <c r="L106" s="237"/>
      <c r="M106" s="233"/>
      <c r="O106" s="219"/>
      <c r="P106" s="219"/>
      <c r="Q106" s="219"/>
      <c r="R106" s="219"/>
      <c r="S106" s="216"/>
      <c r="U106" s="202"/>
      <c r="V106" s="202"/>
      <c r="W106" s="202"/>
      <c r="X106" s="202"/>
      <c r="Y106" s="199"/>
      <c r="AA106" s="184"/>
      <c r="AB106" s="184"/>
      <c r="AC106" s="184"/>
      <c r="AD106" s="184"/>
      <c r="AE106" s="181"/>
      <c r="AG106" s="166"/>
      <c r="AH106" s="166"/>
      <c r="AI106" s="166"/>
      <c r="AJ106" s="166"/>
      <c r="AK106" s="163">
        <f t="shared" si="33"/>
        <v>0</v>
      </c>
      <c r="AM106" s="299">
        <v>0</v>
      </c>
      <c r="AN106" s="299">
        <v>42600</v>
      </c>
      <c r="AO106" s="305">
        <f t="shared" si="22"/>
        <v>42600</v>
      </c>
      <c r="AP106" s="299">
        <v>0</v>
      </c>
      <c r="AQ106" s="299">
        <v>57393.44</v>
      </c>
      <c r="AR106" s="107">
        <f t="shared" si="34"/>
        <v>57393.44</v>
      </c>
      <c r="AT106" s="279" t="e">
        <f>+#REF!+I106+O106+U106+AA106+AG106+AM106</f>
        <v>#REF!</v>
      </c>
      <c r="AU106" s="279" t="e">
        <f t="shared" si="23"/>
        <v>#VALUE!</v>
      </c>
      <c r="AV106" s="279">
        <f t="shared" si="20"/>
        <v>0</v>
      </c>
      <c r="AW106" s="279">
        <f t="shared" si="24"/>
        <v>57393.44</v>
      </c>
      <c r="AX106" s="279">
        <f>SUM(AV106:AW106)</f>
        <v>57393.44</v>
      </c>
    </row>
    <row r="107" spans="1:50" ht="18.75">
      <c r="A107" s="43" t="s">
        <v>366</v>
      </c>
      <c r="B107" s="258">
        <v>0</v>
      </c>
      <c r="C107" s="259">
        <v>0</v>
      </c>
      <c r="D107" s="258">
        <v>0</v>
      </c>
      <c r="E107" s="258">
        <v>0</v>
      </c>
      <c r="F107" s="247">
        <f t="shared" si="26"/>
        <v>0</v>
      </c>
      <c r="I107" s="237"/>
      <c r="J107" s="237"/>
      <c r="K107" s="237"/>
      <c r="L107" s="237"/>
      <c r="M107" s="233"/>
      <c r="O107" s="219"/>
      <c r="P107" s="219"/>
      <c r="Q107" s="219"/>
      <c r="R107" s="219"/>
      <c r="S107" s="216"/>
      <c r="U107" s="202"/>
      <c r="V107" s="202"/>
      <c r="W107" s="202"/>
      <c r="X107" s="202"/>
      <c r="Y107" s="199"/>
      <c r="AA107" s="184"/>
      <c r="AB107" s="184"/>
      <c r="AC107" s="184"/>
      <c r="AD107" s="184"/>
      <c r="AE107" s="181"/>
      <c r="AG107" s="166"/>
      <c r="AH107" s="166"/>
      <c r="AI107" s="166"/>
      <c r="AJ107" s="166"/>
      <c r="AK107" s="163">
        <f t="shared" si="33"/>
        <v>0</v>
      </c>
      <c r="AM107" s="299">
        <v>0</v>
      </c>
      <c r="AN107" s="299">
        <v>0</v>
      </c>
      <c r="AO107" s="305">
        <f t="shared" si="22"/>
        <v>0</v>
      </c>
      <c r="AP107" s="299">
        <v>0</v>
      </c>
      <c r="AQ107" s="299">
        <v>400</v>
      </c>
      <c r="AR107" s="107">
        <f t="shared" si="34"/>
        <v>400</v>
      </c>
      <c r="AT107" s="279" t="e">
        <f>+#REF!+I107+O107+U107+AA107+AG107+AM107</f>
        <v>#REF!</v>
      </c>
      <c r="AU107" s="279" t="e">
        <f t="shared" si="23"/>
        <v>#VALUE!</v>
      </c>
      <c r="AV107" s="279">
        <f t="shared" si="20"/>
        <v>0</v>
      </c>
      <c r="AW107" s="279">
        <f t="shared" si="24"/>
        <v>400</v>
      </c>
      <c r="AX107" s="279">
        <f t="shared" si="25"/>
        <v>400</v>
      </c>
    </row>
    <row r="108" spans="1:60" s="17" customFormat="1" ht="19.5" thickBot="1">
      <c r="A108" s="17" t="s">
        <v>338</v>
      </c>
      <c r="B108" s="255">
        <f>SUM(B73:B107)</f>
        <v>0</v>
      </c>
      <c r="C108" s="256">
        <f>SUM(C67:C107)</f>
        <v>0</v>
      </c>
      <c r="D108" s="255">
        <f>SUM(D73:D107)</f>
        <v>0</v>
      </c>
      <c r="E108" s="255">
        <f>SUM(E67:E107)</f>
        <v>274862634.52</v>
      </c>
      <c r="F108" s="257">
        <f>SUM(F67:F107)</f>
        <v>0</v>
      </c>
      <c r="G108" s="106"/>
      <c r="H108" s="144"/>
      <c r="I108" s="236">
        <f>SUM(I73:I107)</f>
        <v>0</v>
      </c>
      <c r="J108" s="236">
        <f>SUM(J73:J107)</f>
        <v>0</v>
      </c>
      <c r="K108" s="236">
        <f>SUM(K73:K107)</f>
        <v>0</v>
      </c>
      <c r="L108" s="236">
        <f>SUM(L73:L107)</f>
        <v>1434683.79</v>
      </c>
      <c r="M108" s="236">
        <f>SUM(M73:M107)</f>
        <v>1434683.79</v>
      </c>
      <c r="N108" s="91"/>
      <c r="O108" s="218">
        <f>SUM(O73:O107)</f>
        <v>0</v>
      </c>
      <c r="P108" s="218">
        <f>SUM(P73:P107)</f>
        <v>0</v>
      </c>
      <c r="Q108" s="218">
        <f>SUM(Q73:Q107)</f>
        <v>0</v>
      </c>
      <c r="R108" s="218">
        <f>SUM(R73:R107)</f>
        <v>822297.04</v>
      </c>
      <c r="S108" s="218">
        <f>SUM(S73:S107)</f>
        <v>822297.04</v>
      </c>
      <c r="T108" s="91"/>
      <c r="U108" s="201">
        <f>SUM(U73:U107)</f>
        <v>0</v>
      </c>
      <c r="V108" s="201">
        <f>SUM(V73:V107)</f>
        <v>0</v>
      </c>
      <c r="W108" s="201">
        <f>SUM(W73:W107)</f>
        <v>0</v>
      </c>
      <c r="X108" s="201">
        <f>SUM(X73:X107)</f>
        <v>1339890.69</v>
      </c>
      <c r="Y108" s="201">
        <f>SUM(Y73:Y107)</f>
        <v>1339890.69</v>
      </c>
      <c r="Z108" s="91"/>
      <c r="AA108" s="183">
        <f>SUM(AA73:AA107)</f>
        <v>0</v>
      </c>
      <c r="AB108" s="183">
        <f>SUM(AB73:AB107)</f>
        <v>0</v>
      </c>
      <c r="AC108" s="183">
        <f>SUM(AC73:AC107)</f>
        <v>34170</v>
      </c>
      <c r="AD108" s="183">
        <f>SUM(AD73:AD107)</f>
        <v>2189496.28</v>
      </c>
      <c r="AE108" s="183">
        <f>SUM(AE73:AE107)</f>
        <v>2223666.28</v>
      </c>
      <c r="AF108" s="106"/>
      <c r="AG108" s="165">
        <f>SUM(AG73:AG107)</f>
        <v>0</v>
      </c>
      <c r="AH108" s="165">
        <f>SUM(AH73:AH107)</f>
        <v>0</v>
      </c>
      <c r="AI108" s="165">
        <f>SUM(AI73:AI107)</f>
        <v>0</v>
      </c>
      <c r="AJ108" s="165">
        <f>SUM(AJ73:AJ107)</f>
        <v>4807200.9</v>
      </c>
      <c r="AK108" s="165">
        <f>SUM(AK73:AK107)</f>
        <v>4807200.9</v>
      </c>
      <c r="AL108" s="91"/>
      <c r="AM108" s="300">
        <f aca="true" t="shared" si="35" ref="AM108:AR108">SUM(AM73:AM107)</f>
        <v>0</v>
      </c>
      <c r="AN108" s="300">
        <f t="shared" si="35"/>
        <v>1147964.13</v>
      </c>
      <c r="AO108" s="300">
        <f t="shared" si="35"/>
        <v>1147964.13</v>
      </c>
      <c r="AP108" s="300">
        <f t="shared" si="35"/>
        <v>0</v>
      </c>
      <c r="AQ108" s="300">
        <f t="shared" si="35"/>
        <v>1579801.1900000002</v>
      </c>
      <c r="AR108" s="300">
        <f t="shared" si="35"/>
        <v>1579801.1900000002</v>
      </c>
      <c r="AS108" s="91"/>
      <c r="AT108" s="281" t="e">
        <f>SUM(AT73:AT107)</f>
        <v>#REF!</v>
      </c>
      <c r="AU108" s="281" t="e">
        <f>SUM(AU73:AU107)</f>
        <v>#VALUE!</v>
      </c>
      <c r="AV108" s="281">
        <f>SUM(AV73:AV107)</f>
        <v>34170</v>
      </c>
      <c r="AW108" s="281">
        <f>SUM(AW73:AW107)</f>
        <v>12173369.889999997</v>
      </c>
      <c r="AX108" s="281">
        <f>SUM(AX73:AX107)</f>
        <v>12207539.889999997</v>
      </c>
      <c r="AY108" s="91"/>
      <c r="AZ108" s="144"/>
      <c r="BA108" s="91"/>
      <c r="BB108" s="91"/>
      <c r="BC108" s="91"/>
      <c r="BD108" s="91"/>
      <c r="BE108" s="91"/>
      <c r="BF108" s="91"/>
      <c r="BG108" s="91"/>
      <c r="BH108" s="91"/>
    </row>
    <row r="109" spans="2:60" s="17" customFormat="1" ht="19.5" thickTop="1">
      <c r="B109" s="247"/>
      <c r="C109" s="247"/>
      <c r="D109" s="247"/>
      <c r="E109" s="247"/>
      <c r="F109" s="247"/>
      <c r="G109" s="106"/>
      <c r="H109" s="144"/>
      <c r="I109" s="231"/>
      <c r="J109" s="231"/>
      <c r="K109" s="231"/>
      <c r="L109" s="231"/>
      <c r="M109" s="231"/>
      <c r="N109" s="91"/>
      <c r="O109" s="214"/>
      <c r="P109" s="214"/>
      <c r="Q109" s="214"/>
      <c r="R109" s="214"/>
      <c r="S109" s="214"/>
      <c r="T109" s="91"/>
      <c r="U109" s="197"/>
      <c r="V109" s="197"/>
      <c r="W109" s="197"/>
      <c r="X109" s="197"/>
      <c r="Y109" s="197"/>
      <c r="Z109" s="91"/>
      <c r="AA109" s="179"/>
      <c r="AB109" s="179"/>
      <c r="AC109" s="179"/>
      <c r="AD109" s="179"/>
      <c r="AE109" s="179"/>
      <c r="AF109" s="106"/>
      <c r="AG109" s="161"/>
      <c r="AH109" s="161"/>
      <c r="AI109" s="161"/>
      <c r="AJ109" s="161"/>
      <c r="AK109" s="161"/>
      <c r="AL109" s="91"/>
      <c r="AM109" s="106"/>
      <c r="AN109" s="106"/>
      <c r="AO109" s="106"/>
      <c r="AP109" s="106"/>
      <c r="AQ109" s="106"/>
      <c r="AR109" s="106"/>
      <c r="AS109" s="91"/>
      <c r="AT109" s="277"/>
      <c r="AU109" s="277"/>
      <c r="AV109" s="277"/>
      <c r="AW109" s="277"/>
      <c r="AX109" s="277"/>
      <c r="AY109" s="91"/>
      <c r="AZ109" s="144"/>
      <c r="BA109" s="91"/>
      <c r="BB109" s="91"/>
      <c r="BC109" s="91"/>
      <c r="BD109" s="91"/>
      <c r="BE109" s="91"/>
      <c r="BF109" s="91"/>
      <c r="BG109" s="91"/>
      <c r="BH109" s="91"/>
    </row>
    <row r="110" spans="1:50" ht="18.75">
      <c r="A110" s="51" t="s">
        <v>464</v>
      </c>
      <c r="B110" s="248" t="s">
        <v>56</v>
      </c>
      <c r="C110" s="249" t="s">
        <v>57</v>
      </c>
      <c r="D110" s="248" t="s">
        <v>56</v>
      </c>
      <c r="E110" s="248" t="s">
        <v>57</v>
      </c>
      <c r="F110" s="250" t="s">
        <v>101</v>
      </c>
      <c r="G110" s="97"/>
      <c r="I110" s="232" t="s">
        <v>56</v>
      </c>
      <c r="J110" s="232" t="s">
        <v>57</v>
      </c>
      <c r="K110" s="232" t="s">
        <v>56</v>
      </c>
      <c r="L110" s="232" t="s">
        <v>57</v>
      </c>
      <c r="M110" s="232" t="s">
        <v>101</v>
      </c>
      <c r="O110" s="215" t="s">
        <v>56</v>
      </c>
      <c r="P110" s="215" t="s">
        <v>57</v>
      </c>
      <c r="Q110" s="215" t="s">
        <v>56</v>
      </c>
      <c r="R110" s="215" t="s">
        <v>57</v>
      </c>
      <c r="S110" s="215" t="s">
        <v>101</v>
      </c>
      <c r="U110" s="198" t="s">
        <v>56</v>
      </c>
      <c r="V110" s="198" t="s">
        <v>57</v>
      </c>
      <c r="W110" s="198" t="s">
        <v>56</v>
      </c>
      <c r="X110" s="198" t="s">
        <v>57</v>
      </c>
      <c r="Y110" s="198" t="s">
        <v>101</v>
      </c>
      <c r="AA110" s="180" t="s">
        <v>56</v>
      </c>
      <c r="AB110" s="180" t="s">
        <v>57</v>
      </c>
      <c r="AC110" s="180" t="s">
        <v>56</v>
      </c>
      <c r="AD110" s="180" t="s">
        <v>57</v>
      </c>
      <c r="AE110" s="180" t="s">
        <v>101</v>
      </c>
      <c r="AF110" s="97"/>
      <c r="AG110" s="162" t="s">
        <v>56</v>
      </c>
      <c r="AH110" s="162" t="s">
        <v>57</v>
      </c>
      <c r="AI110" s="162" t="s">
        <v>56</v>
      </c>
      <c r="AJ110" s="162" t="s">
        <v>57</v>
      </c>
      <c r="AK110" s="162" t="s">
        <v>101</v>
      </c>
      <c r="AM110" s="18" t="s">
        <v>56</v>
      </c>
      <c r="AN110" s="18" t="s">
        <v>57</v>
      </c>
      <c r="AO110" s="18" t="s">
        <v>101</v>
      </c>
      <c r="AP110" s="18" t="s">
        <v>56</v>
      </c>
      <c r="AQ110" s="18" t="s">
        <v>57</v>
      </c>
      <c r="AR110" s="18" t="s">
        <v>101</v>
      </c>
      <c r="AT110" s="278" t="s">
        <v>56</v>
      </c>
      <c r="AU110" s="278" t="s">
        <v>57</v>
      </c>
      <c r="AV110" s="278" t="s">
        <v>56</v>
      </c>
      <c r="AW110" s="278" t="s">
        <v>57</v>
      </c>
      <c r="AX110" s="278" t="s">
        <v>101</v>
      </c>
    </row>
    <row r="111" spans="1:51" ht="18.75">
      <c r="A111" s="43" t="s">
        <v>265</v>
      </c>
      <c r="B111" s="251">
        <v>0</v>
      </c>
      <c r="C111" s="252">
        <v>0</v>
      </c>
      <c r="D111" s="251">
        <v>0</v>
      </c>
      <c r="E111" s="251">
        <v>0</v>
      </c>
      <c r="F111" s="247">
        <f>SUM(B111:C111)</f>
        <v>0</v>
      </c>
      <c r="I111" s="233"/>
      <c r="J111" s="233"/>
      <c r="K111" s="233"/>
      <c r="L111" s="233"/>
      <c r="M111" s="233"/>
      <c r="O111" s="216"/>
      <c r="P111" s="216"/>
      <c r="Q111" s="216"/>
      <c r="R111" s="216"/>
      <c r="S111" s="216"/>
      <c r="U111" s="199"/>
      <c r="V111" s="199"/>
      <c r="W111" s="199"/>
      <c r="X111" s="199"/>
      <c r="Y111" s="199"/>
      <c r="AA111" s="181"/>
      <c r="AB111" s="181"/>
      <c r="AC111" s="181"/>
      <c r="AD111" s="181"/>
      <c r="AE111" s="181"/>
      <c r="AG111" s="163"/>
      <c r="AH111" s="163"/>
      <c r="AI111" s="163"/>
      <c r="AJ111" s="163">
        <v>992</v>
      </c>
      <c r="AK111" s="163">
        <f>SUM(AI111:AJ111)</f>
        <v>992</v>
      </c>
      <c r="AM111" s="107">
        <v>0</v>
      </c>
      <c r="AN111" s="107">
        <v>0</v>
      </c>
      <c r="AO111" s="107">
        <f>SUM(AM111:AN111)</f>
        <v>0</v>
      </c>
      <c r="AP111" s="107">
        <v>0</v>
      </c>
      <c r="AQ111" s="107">
        <v>0</v>
      </c>
      <c r="AR111" s="107">
        <f>SUM(AP111:AQ111)</f>
        <v>0</v>
      </c>
      <c r="AT111" s="279" t="e">
        <f>+#REF!+I111+O111+U111+AA111+AG111+AM111</f>
        <v>#REF!</v>
      </c>
      <c r="AU111" s="279" t="e">
        <f>+A111+J111+P111+V111+AB111+AH111+AN111</f>
        <v>#VALUE!</v>
      </c>
      <c r="AV111" s="279">
        <f>+B111+K111+Q111+W111+AC111+AI111+AP111</f>
        <v>0</v>
      </c>
      <c r="AW111" s="279">
        <f>+C111+L111+R111+X111+AD111+AJ111+AQ111</f>
        <v>992</v>
      </c>
      <c r="AX111" s="279">
        <f>SUM(AV111:AW111)</f>
        <v>992</v>
      </c>
      <c r="AY111" s="50" t="s">
        <v>403</v>
      </c>
    </row>
    <row r="112" spans="1:51" ht="18.75">
      <c r="A112" s="43" t="s">
        <v>114</v>
      </c>
      <c r="B112" s="258"/>
      <c r="C112" s="259"/>
      <c r="D112" s="258"/>
      <c r="E112" s="258">
        <f>5344566.15</f>
        <v>5344566.15</v>
      </c>
      <c r="F112" s="247">
        <f>SUM(B112:C112)</f>
        <v>0</v>
      </c>
      <c r="I112" s="237"/>
      <c r="J112" s="237"/>
      <c r="K112" s="237"/>
      <c r="L112" s="237"/>
      <c r="M112" s="237"/>
      <c r="O112" s="219"/>
      <c r="P112" s="219"/>
      <c r="Q112" s="219"/>
      <c r="R112" s="219"/>
      <c r="S112" s="219"/>
      <c r="U112" s="202"/>
      <c r="V112" s="202"/>
      <c r="W112" s="202"/>
      <c r="X112" s="202"/>
      <c r="Y112" s="202"/>
      <c r="AA112" s="184"/>
      <c r="AB112" s="184"/>
      <c r="AC112" s="184"/>
      <c r="AD112" s="184"/>
      <c r="AE112" s="184"/>
      <c r="AG112" s="166"/>
      <c r="AH112" s="166"/>
      <c r="AI112" s="166"/>
      <c r="AJ112" s="166"/>
      <c r="AK112" s="163">
        <f>SUM(AI112:AJ112)</f>
        <v>0</v>
      </c>
      <c r="AM112" s="299">
        <v>0</v>
      </c>
      <c r="AN112" s="299">
        <v>0</v>
      </c>
      <c r="AO112" s="107">
        <f>SUM(AM112:AN112)</f>
        <v>0</v>
      </c>
      <c r="AP112" s="299">
        <v>0</v>
      </c>
      <c r="AQ112" s="299">
        <v>0</v>
      </c>
      <c r="AR112" s="107">
        <f>SUM(AP112:AQ112)</f>
        <v>0</v>
      </c>
      <c r="AT112" s="279" t="e">
        <f>+#REF!+I112+O112+U112+AA112+AG112+AM112</f>
        <v>#REF!</v>
      </c>
      <c r="AU112" s="279" t="e">
        <f>+A112+J112+P112+V112+AB112+AH112+AN112</f>
        <v>#VALUE!</v>
      </c>
      <c r="AV112" s="279">
        <f>+B112+K112+Q112+W112+AC112+AI112+AP112</f>
        <v>0</v>
      </c>
      <c r="AW112" s="279">
        <f>+C112+L112+R112+X112+AD112+AJ112+AQ112</f>
        <v>0</v>
      </c>
      <c r="AX112" s="279">
        <f>SUM(AV112:AW112)</f>
        <v>0</v>
      </c>
      <c r="AY112" s="50" t="s">
        <v>406</v>
      </c>
    </row>
    <row r="113" spans="1:60" s="17" customFormat="1" ht="19.5" thickBot="1">
      <c r="A113" s="17" t="s">
        <v>115</v>
      </c>
      <c r="B113" s="255">
        <f>SUM(B111:B112)</f>
        <v>0</v>
      </c>
      <c r="C113" s="256">
        <f>SUM(C111:C112)</f>
        <v>0</v>
      </c>
      <c r="D113" s="255">
        <f>SUM(D111:D112)</f>
        <v>0</v>
      </c>
      <c r="E113" s="255">
        <f>SUM(E111:E112)</f>
        <v>5344566.15</v>
      </c>
      <c r="F113" s="257">
        <f>SUM(F111:F112)</f>
        <v>0</v>
      </c>
      <c r="G113" s="106"/>
      <c r="H113" s="144"/>
      <c r="I113" s="236">
        <f>SUM(I111:I112)</f>
        <v>0</v>
      </c>
      <c r="J113" s="236">
        <f>SUM(J111:J112)</f>
        <v>0</v>
      </c>
      <c r="K113" s="236">
        <f>SUM(K111:K112)</f>
        <v>0</v>
      </c>
      <c r="L113" s="236">
        <f>SUM(L111:L112)</f>
        <v>0</v>
      </c>
      <c r="M113" s="236">
        <f>SUM(M111:M112)</f>
        <v>0</v>
      </c>
      <c r="N113" s="91"/>
      <c r="O113" s="218">
        <f>SUM(O111:O112)</f>
        <v>0</v>
      </c>
      <c r="P113" s="218">
        <f>SUM(P111:P112)</f>
        <v>0</v>
      </c>
      <c r="Q113" s="218">
        <f>SUM(Q111:Q112)</f>
        <v>0</v>
      </c>
      <c r="R113" s="218">
        <f>SUM(R111:R112)</f>
        <v>0</v>
      </c>
      <c r="S113" s="218">
        <f>SUM(S111:S112)</f>
        <v>0</v>
      </c>
      <c r="T113" s="91"/>
      <c r="U113" s="201">
        <f>SUM(U111:U112)</f>
        <v>0</v>
      </c>
      <c r="V113" s="201">
        <f>SUM(V111:V112)</f>
        <v>0</v>
      </c>
      <c r="W113" s="201">
        <f>SUM(W111:W112)</f>
        <v>0</v>
      </c>
      <c r="X113" s="201">
        <f>SUM(X111:X112)</f>
        <v>0</v>
      </c>
      <c r="Y113" s="201">
        <f>SUM(Y111:Y112)</f>
        <v>0</v>
      </c>
      <c r="Z113" s="91"/>
      <c r="AA113" s="183">
        <f>SUM(AA111:AA112)</f>
        <v>0</v>
      </c>
      <c r="AB113" s="183">
        <f>SUM(AB111:AB112)</f>
        <v>0</v>
      </c>
      <c r="AC113" s="183">
        <f>SUM(AC111:AC112)</f>
        <v>0</v>
      </c>
      <c r="AD113" s="183">
        <f>SUM(AD111:AD112)</f>
        <v>0</v>
      </c>
      <c r="AE113" s="183">
        <f>SUM(AE111:AE112)</f>
        <v>0</v>
      </c>
      <c r="AF113" s="106"/>
      <c r="AG113" s="165">
        <f>SUM(AG111:AG112)</f>
        <v>0</v>
      </c>
      <c r="AH113" s="165">
        <f>SUM(AH111:AH112)</f>
        <v>0</v>
      </c>
      <c r="AI113" s="165">
        <f>SUM(AI111:AI112)</f>
        <v>0</v>
      </c>
      <c r="AJ113" s="165">
        <f>SUM(AJ111:AJ112)</f>
        <v>992</v>
      </c>
      <c r="AK113" s="165">
        <f>SUM(AK111:AK112)</f>
        <v>992</v>
      </c>
      <c r="AL113" s="91"/>
      <c r="AM113" s="300">
        <f aca="true" t="shared" si="36" ref="AM113:AR113">SUM(AM111:AM112)</f>
        <v>0</v>
      </c>
      <c r="AN113" s="300">
        <f t="shared" si="36"/>
        <v>0</v>
      </c>
      <c r="AO113" s="300">
        <f t="shared" si="36"/>
        <v>0</v>
      </c>
      <c r="AP113" s="300">
        <f t="shared" si="36"/>
        <v>0</v>
      </c>
      <c r="AQ113" s="300">
        <f t="shared" si="36"/>
        <v>0</v>
      </c>
      <c r="AR113" s="300">
        <f t="shared" si="36"/>
        <v>0</v>
      </c>
      <c r="AS113" s="91"/>
      <c r="AT113" s="281" t="e">
        <f>SUM(AT111:AT112)</f>
        <v>#REF!</v>
      </c>
      <c r="AU113" s="281" t="e">
        <f>SUM(AU111:AU112)</f>
        <v>#VALUE!</v>
      </c>
      <c r="AV113" s="281">
        <f>SUM(AV111:AV112)</f>
        <v>0</v>
      </c>
      <c r="AW113" s="281">
        <f>SUM(AW111:AW112)</f>
        <v>992</v>
      </c>
      <c r="AX113" s="281">
        <f>SUM(AX111:AX112)</f>
        <v>992</v>
      </c>
      <c r="AY113" s="91"/>
      <c r="AZ113" s="144"/>
      <c r="BA113" s="91"/>
      <c r="BB113" s="91"/>
      <c r="BC113" s="91"/>
      <c r="BD113" s="91"/>
      <c r="BE113" s="91"/>
      <c r="BF113" s="91"/>
      <c r="BG113" s="91"/>
      <c r="BH113" s="91"/>
    </row>
    <row r="114" spans="2:60" s="17" customFormat="1" ht="19.5" thickTop="1">
      <c r="B114" s="247"/>
      <c r="C114" s="247"/>
      <c r="D114" s="247"/>
      <c r="E114" s="247"/>
      <c r="F114" s="247"/>
      <c r="G114" s="106"/>
      <c r="H114" s="144"/>
      <c r="I114" s="231"/>
      <c r="J114" s="231"/>
      <c r="K114" s="231"/>
      <c r="L114" s="231"/>
      <c r="M114" s="231"/>
      <c r="N114" s="91"/>
      <c r="O114" s="214"/>
      <c r="P114" s="214"/>
      <c r="Q114" s="214"/>
      <c r="R114" s="214"/>
      <c r="S114" s="214"/>
      <c r="T114" s="91"/>
      <c r="U114" s="197"/>
      <c r="V114" s="197"/>
      <c r="W114" s="197"/>
      <c r="X114" s="197"/>
      <c r="Y114" s="197"/>
      <c r="Z114" s="91"/>
      <c r="AA114" s="179"/>
      <c r="AB114" s="179"/>
      <c r="AC114" s="179"/>
      <c r="AD114" s="179"/>
      <c r="AE114" s="179"/>
      <c r="AF114" s="106"/>
      <c r="AG114" s="161"/>
      <c r="AH114" s="161"/>
      <c r="AI114" s="161"/>
      <c r="AJ114" s="161"/>
      <c r="AK114" s="161"/>
      <c r="AL114" s="91"/>
      <c r="AM114" s="106"/>
      <c r="AN114" s="106"/>
      <c r="AO114" s="106"/>
      <c r="AP114" s="106"/>
      <c r="AQ114" s="106"/>
      <c r="AR114" s="106"/>
      <c r="AS114" s="91"/>
      <c r="AT114" s="277"/>
      <c r="AU114" s="277"/>
      <c r="AV114" s="277"/>
      <c r="AW114" s="277"/>
      <c r="AX114" s="277"/>
      <c r="AY114" s="91"/>
      <c r="AZ114" s="144" t="s">
        <v>466</v>
      </c>
      <c r="BA114" s="91"/>
      <c r="BB114" s="91"/>
      <c r="BC114" s="91"/>
      <c r="BD114" s="91"/>
      <c r="BE114" s="91"/>
      <c r="BF114" s="91"/>
      <c r="BG114" s="91"/>
      <c r="BH114" s="91"/>
    </row>
    <row r="115" spans="2:60" s="17" customFormat="1" ht="18.75">
      <c r="B115" s="247"/>
      <c r="C115" s="247"/>
      <c r="D115" s="247"/>
      <c r="E115" s="247"/>
      <c r="F115" s="247"/>
      <c r="G115" s="106"/>
      <c r="H115" s="144"/>
      <c r="I115" s="231"/>
      <c r="J115" s="231"/>
      <c r="K115" s="231"/>
      <c r="L115" s="231"/>
      <c r="M115" s="231"/>
      <c r="N115" s="91"/>
      <c r="O115" s="214"/>
      <c r="P115" s="214"/>
      <c r="Q115" s="214"/>
      <c r="R115" s="214"/>
      <c r="S115" s="214"/>
      <c r="T115" s="91"/>
      <c r="U115" s="197"/>
      <c r="V115" s="197"/>
      <c r="W115" s="197"/>
      <c r="X115" s="197"/>
      <c r="Y115" s="197"/>
      <c r="Z115" s="91"/>
      <c r="AA115" s="179"/>
      <c r="AB115" s="179"/>
      <c r="AC115" s="179"/>
      <c r="AD115" s="179"/>
      <c r="AE115" s="179"/>
      <c r="AF115" s="106"/>
      <c r="AG115" s="161"/>
      <c r="AH115" s="161"/>
      <c r="AI115" s="161"/>
      <c r="AJ115" s="161"/>
      <c r="AK115" s="161"/>
      <c r="AL115" s="91"/>
      <c r="AM115" s="106"/>
      <c r="AN115" s="106"/>
      <c r="AO115" s="106"/>
      <c r="AP115" s="106"/>
      <c r="AQ115" s="106"/>
      <c r="AR115" s="106"/>
      <c r="AS115" s="91"/>
      <c r="AT115" s="277"/>
      <c r="AU115" s="277"/>
      <c r="AV115" s="277"/>
      <c r="AW115" s="277"/>
      <c r="AX115" s="277"/>
      <c r="AY115" s="91"/>
      <c r="AZ115" s="144"/>
      <c r="BA115" s="91"/>
      <c r="BB115" s="91"/>
      <c r="BC115" s="91"/>
      <c r="BD115" s="91"/>
      <c r="BE115" s="91"/>
      <c r="BF115" s="91"/>
      <c r="BG115" s="91"/>
      <c r="BH115" s="91"/>
    </row>
    <row r="116" spans="2:60" s="17" customFormat="1" ht="18.75">
      <c r="B116" s="247"/>
      <c r="C116" s="247"/>
      <c r="D116" s="247"/>
      <c r="E116" s="247"/>
      <c r="F116" s="247"/>
      <c r="G116" s="106"/>
      <c r="H116" s="144"/>
      <c r="I116" s="231"/>
      <c r="J116" s="231"/>
      <c r="K116" s="231"/>
      <c r="L116" s="231"/>
      <c r="M116" s="231"/>
      <c r="N116" s="91"/>
      <c r="O116" s="214"/>
      <c r="P116" s="214"/>
      <c r="Q116" s="214"/>
      <c r="R116" s="214"/>
      <c r="S116" s="214"/>
      <c r="T116" s="91"/>
      <c r="U116" s="197"/>
      <c r="V116" s="197"/>
      <c r="W116" s="197"/>
      <c r="X116" s="197"/>
      <c r="Y116" s="197"/>
      <c r="Z116" s="91"/>
      <c r="AA116" s="179"/>
      <c r="AB116" s="179"/>
      <c r="AC116" s="179"/>
      <c r="AD116" s="179"/>
      <c r="AE116" s="179"/>
      <c r="AF116" s="106"/>
      <c r="AG116" s="161"/>
      <c r="AH116" s="161"/>
      <c r="AI116" s="161"/>
      <c r="AJ116" s="161"/>
      <c r="AK116" s="161"/>
      <c r="AL116" s="91"/>
      <c r="AM116" s="106"/>
      <c r="AN116" s="106"/>
      <c r="AO116" s="106"/>
      <c r="AP116" s="106"/>
      <c r="AQ116" s="106"/>
      <c r="AR116" s="106"/>
      <c r="AS116" s="91"/>
      <c r="AT116" s="277"/>
      <c r="AU116" s="277"/>
      <c r="AV116" s="277"/>
      <c r="AW116" s="277"/>
      <c r="AX116" s="277"/>
      <c r="AY116" s="91"/>
      <c r="AZ116" s="144"/>
      <c r="BA116" s="91"/>
      <c r="BB116" s="91"/>
      <c r="BC116" s="91"/>
      <c r="BD116" s="91"/>
      <c r="BE116" s="91"/>
      <c r="BF116" s="91"/>
      <c r="BG116" s="91"/>
      <c r="BH116" s="91"/>
    </row>
    <row r="117" spans="1:53" ht="19.5" thickBot="1">
      <c r="A117" s="51" t="s">
        <v>465</v>
      </c>
      <c r="B117" s="248" t="s">
        <v>56</v>
      </c>
      <c r="C117" s="249" t="s">
        <v>57</v>
      </c>
      <c r="D117" s="248" t="s">
        <v>56</v>
      </c>
      <c r="E117" s="248" t="s">
        <v>57</v>
      </c>
      <c r="F117" s="250"/>
      <c r="G117" s="97"/>
      <c r="I117" s="232" t="s">
        <v>56</v>
      </c>
      <c r="J117" s="232" t="s">
        <v>57</v>
      </c>
      <c r="K117" s="232" t="s">
        <v>56</v>
      </c>
      <c r="L117" s="232" t="s">
        <v>57</v>
      </c>
      <c r="M117" s="232" t="s">
        <v>101</v>
      </c>
      <c r="O117" s="215" t="s">
        <v>56</v>
      </c>
      <c r="P117" s="215" t="s">
        <v>57</v>
      </c>
      <c r="Q117" s="215" t="s">
        <v>56</v>
      </c>
      <c r="R117" s="215" t="s">
        <v>57</v>
      </c>
      <c r="S117" s="215" t="s">
        <v>101</v>
      </c>
      <c r="U117" s="198" t="s">
        <v>56</v>
      </c>
      <c r="V117" s="198" t="s">
        <v>57</v>
      </c>
      <c r="W117" s="198" t="s">
        <v>56</v>
      </c>
      <c r="X117" s="198" t="s">
        <v>57</v>
      </c>
      <c r="Y117" s="198" t="s">
        <v>101</v>
      </c>
      <c r="AA117" s="180" t="s">
        <v>56</v>
      </c>
      <c r="AB117" s="180" t="s">
        <v>57</v>
      </c>
      <c r="AC117" s="180" t="s">
        <v>56</v>
      </c>
      <c r="AD117" s="180" t="s">
        <v>57</v>
      </c>
      <c r="AE117" s="180" t="s">
        <v>101</v>
      </c>
      <c r="AF117" s="97"/>
      <c r="AG117" s="162" t="s">
        <v>56</v>
      </c>
      <c r="AH117" s="162" t="s">
        <v>57</v>
      </c>
      <c r="AI117" s="162" t="s">
        <v>56</v>
      </c>
      <c r="AJ117" s="162" t="s">
        <v>57</v>
      </c>
      <c r="AK117" s="162" t="s">
        <v>101</v>
      </c>
      <c r="AM117" s="18" t="s">
        <v>56</v>
      </c>
      <c r="AN117" s="18" t="s">
        <v>57</v>
      </c>
      <c r="AO117" s="18" t="s">
        <v>101</v>
      </c>
      <c r="AP117" s="18" t="s">
        <v>56</v>
      </c>
      <c r="AQ117" s="18" t="s">
        <v>57</v>
      </c>
      <c r="AR117" s="18" t="s">
        <v>101</v>
      </c>
      <c r="AT117" s="278" t="s">
        <v>56</v>
      </c>
      <c r="AU117" s="278" t="s">
        <v>57</v>
      </c>
      <c r="AV117" s="278" t="s">
        <v>56</v>
      </c>
      <c r="AW117" s="278" t="s">
        <v>57</v>
      </c>
      <c r="AX117" s="278" t="s">
        <v>101</v>
      </c>
      <c r="BA117" s="143" t="s">
        <v>426</v>
      </c>
    </row>
    <row r="118" spans="1:53" ht="19.5" thickTop="1">
      <c r="A118" s="62" t="s">
        <v>266</v>
      </c>
      <c r="B118" s="251">
        <v>0</v>
      </c>
      <c r="C118" s="252">
        <v>0</v>
      </c>
      <c r="D118" s="251">
        <v>0</v>
      </c>
      <c r="E118" s="251">
        <v>0</v>
      </c>
      <c r="F118" s="247">
        <f>SUM(B118:C118)</f>
        <v>0</v>
      </c>
      <c r="I118" s="233"/>
      <c r="J118" s="233"/>
      <c r="K118" s="233"/>
      <c r="L118" s="233">
        <v>1427410.29</v>
      </c>
      <c r="M118" s="233">
        <f>SUM(K118:L118)</f>
        <v>1427410.29</v>
      </c>
      <c r="O118" s="216"/>
      <c r="P118" s="216"/>
      <c r="Q118" s="216"/>
      <c r="R118" s="216"/>
      <c r="S118" s="216">
        <f>SUM(Q118:R118)</f>
        <v>0</v>
      </c>
      <c r="U118" s="199"/>
      <c r="V118" s="199"/>
      <c r="W118" s="199"/>
      <c r="X118" s="199"/>
      <c r="Y118" s="199">
        <f>SUM(W118:X118)</f>
        <v>0</v>
      </c>
      <c r="AA118" s="181"/>
      <c r="AB118" s="181"/>
      <c r="AC118" s="181"/>
      <c r="AD118" s="181"/>
      <c r="AE118" s="181">
        <f>SUM(AC118:AD118)</f>
        <v>0</v>
      </c>
      <c r="AF118" s="142"/>
      <c r="AG118" s="163"/>
      <c r="AH118" s="163"/>
      <c r="AI118" s="163">
        <v>2850000</v>
      </c>
      <c r="AJ118" s="163">
        <f>785600+4520692.02</f>
        <v>5306292.02</v>
      </c>
      <c r="AK118" s="163">
        <f>SUM(AI118:AJ118)</f>
        <v>8156292.02</v>
      </c>
      <c r="AL118" s="50" t="s">
        <v>419</v>
      </c>
      <c r="AM118" s="107">
        <v>0</v>
      </c>
      <c r="AN118" s="107">
        <v>67008.4</v>
      </c>
      <c r="AO118" s="107">
        <f>SUM(AM118:AN118)</f>
        <v>67008.4</v>
      </c>
      <c r="AP118" s="107">
        <v>0</v>
      </c>
      <c r="AQ118" s="107">
        <v>0</v>
      </c>
      <c r="AR118" s="107">
        <f>SUM(AP118:AQ118)</f>
        <v>0</v>
      </c>
      <c r="AT118" s="279" t="e">
        <f>+#REF!+I118+O118+U118+AA118+AG118+AM118</f>
        <v>#REF!</v>
      </c>
      <c r="AU118" s="279" t="e">
        <f>+A118+J118+P118+V118+AB118+AH118+AN118</f>
        <v>#VALUE!</v>
      </c>
      <c r="AV118" s="279">
        <f>+B118+K118+Q118+W118+AC118+AI118+AP118</f>
        <v>2850000</v>
      </c>
      <c r="AW118" s="279">
        <f>+C118+L118+R118+X118+AD118+AJ118+AQ118</f>
        <v>6733702.31</v>
      </c>
      <c r="AX118" s="279">
        <f>SUM(AV118:AW118)</f>
        <v>9583702.309999999</v>
      </c>
      <c r="BA118" s="50" t="s">
        <v>419</v>
      </c>
    </row>
    <row r="119" spans="1:50" ht="18.75">
      <c r="A119" s="62" t="s">
        <v>387</v>
      </c>
      <c r="B119" s="258"/>
      <c r="C119" s="259"/>
      <c r="D119" s="258"/>
      <c r="E119" s="258"/>
      <c r="I119" s="237"/>
      <c r="J119" s="237"/>
      <c r="K119" s="237"/>
      <c r="L119" s="237"/>
      <c r="M119" s="237"/>
      <c r="O119" s="219"/>
      <c r="P119" s="219"/>
      <c r="Q119" s="219"/>
      <c r="R119" s="219"/>
      <c r="S119" s="219"/>
      <c r="U119" s="202"/>
      <c r="V119" s="202"/>
      <c r="W119" s="202"/>
      <c r="X119" s="202"/>
      <c r="Y119" s="202"/>
      <c r="AA119" s="184"/>
      <c r="AB119" s="184"/>
      <c r="AC119" s="184"/>
      <c r="AD119" s="184"/>
      <c r="AE119" s="184"/>
      <c r="AG119" s="166"/>
      <c r="AH119" s="166"/>
      <c r="AI119" s="166"/>
      <c r="AJ119" s="166"/>
      <c r="AK119" s="163">
        <f>SUM(AI119:AJ119)</f>
        <v>0</v>
      </c>
      <c r="AM119" s="299">
        <v>0</v>
      </c>
      <c r="AN119" s="299">
        <v>0</v>
      </c>
      <c r="AO119" s="107">
        <f>SUM(AM119:AN119)</f>
        <v>0</v>
      </c>
      <c r="AP119" s="299">
        <v>0</v>
      </c>
      <c r="AQ119" s="299">
        <v>0</v>
      </c>
      <c r="AR119" s="107">
        <f>SUM(AP119:AQ119)</f>
        <v>0</v>
      </c>
      <c r="AT119" s="279" t="e">
        <f>+#REF!+I119+O119+U119+AA119+AG119+AM119</f>
        <v>#REF!</v>
      </c>
      <c r="AU119" s="279" t="e">
        <f>+A119+J119+P119+V119+AB119+AH119+AN119</f>
        <v>#VALUE!</v>
      </c>
      <c r="AV119" s="279">
        <f>+B119+K119+Q119+W119+AC119+AI119+AP119</f>
        <v>0</v>
      </c>
      <c r="AW119" s="279">
        <f>+C119+L119+R119+X119+AD119+AJ119+AQ119</f>
        <v>0</v>
      </c>
      <c r="AX119" s="279">
        <f>SUM(AV119:AW119)</f>
        <v>0</v>
      </c>
    </row>
    <row r="120" spans="1:60" s="17" customFormat="1" ht="19.5" thickBot="1">
      <c r="A120" s="17" t="s">
        <v>301</v>
      </c>
      <c r="B120" s="255">
        <f>SUM(B118)</f>
        <v>0</v>
      </c>
      <c r="C120" s="256">
        <f>SUM(C118)</f>
        <v>0</v>
      </c>
      <c r="D120" s="255">
        <f>SUM(D118)</f>
        <v>0</v>
      </c>
      <c r="E120" s="255">
        <f>SUM(E118)</f>
        <v>0</v>
      </c>
      <c r="F120" s="257">
        <f>SUM(B120:C120)</f>
        <v>0</v>
      </c>
      <c r="G120" s="106"/>
      <c r="H120" s="144"/>
      <c r="I120" s="236">
        <f>SUM(I118)</f>
        <v>0</v>
      </c>
      <c r="J120" s="236">
        <f>SUM(J118)</f>
        <v>0</v>
      </c>
      <c r="K120" s="236">
        <f>SUM(K118)</f>
        <v>0</v>
      </c>
      <c r="L120" s="236">
        <f>SUM(L118)</f>
        <v>1427410.29</v>
      </c>
      <c r="M120" s="236">
        <f>SUM(M118)</f>
        <v>1427410.29</v>
      </c>
      <c r="N120" s="91"/>
      <c r="O120" s="218">
        <f>SUM(O118)</f>
        <v>0</v>
      </c>
      <c r="P120" s="218">
        <f>SUM(P118)</f>
        <v>0</v>
      </c>
      <c r="Q120" s="218">
        <f>SUM(Q118)</f>
        <v>0</v>
      </c>
      <c r="R120" s="218">
        <f>SUM(R118)</f>
        <v>0</v>
      </c>
      <c r="S120" s="218">
        <f>SUM(S118)</f>
        <v>0</v>
      </c>
      <c r="T120" s="91"/>
      <c r="U120" s="201">
        <f>SUM(U118)</f>
        <v>0</v>
      </c>
      <c r="V120" s="201">
        <f>SUM(V118)</f>
        <v>0</v>
      </c>
      <c r="W120" s="201">
        <f>SUM(W118)</f>
        <v>0</v>
      </c>
      <c r="X120" s="201">
        <f>SUM(X118)</f>
        <v>0</v>
      </c>
      <c r="Y120" s="201">
        <f>SUM(Y118)</f>
        <v>0</v>
      </c>
      <c r="Z120" s="91"/>
      <c r="AA120" s="183">
        <f>SUM(AA118)</f>
        <v>0</v>
      </c>
      <c r="AB120" s="183">
        <f>SUM(AB118)</f>
        <v>0</v>
      </c>
      <c r="AC120" s="183">
        <f>SUM(AC118)</f>
        <v>0</v>
      </c>
      <c r="AD120" s="183">
        <f>SUM(AD118)</f>
        <v>0</v>
      </c>
      <c r="AE120" s="183">
        <f>SUM(AE118)</f>
        <v>0</v>
      </c>
      <c r="AF120" s="106"/>
      <c r="AG120" s="165">
        <f>SUM(AG118:AG119)</f>
        <v>0</v>
      </c>
      <c r="AH120" s="165">
        <f>SUM(AH118:AH119)</f>
        <v>0</v>
      </c>
      <c r="AI120" s="165">
        <f>SUM(AI118:AI119)</f>
        <v>2850000</v>
      </c>
      <c r="AJ120" s="165">
        <f>SUM(AJ118:AJ119)</f>
        <v>5306292.02</v>
      </c>
      <c r="AK120" s="165">
        <f>SUM(AK118:AK119)</f>
        <v>8156292.02</v>
      </c>
      <c r="AL120" s="91" t="s">
        <v>420</v>
      </c>
      <c r="AM120" s="300">
        <f aca="true" t="shared" si="37" ref="AM120:AR120">SUM(AM118)</f>
        <v>0</v>
      </c>
      <c r="AN120" s="300">
        <f t="shared" si="37"/>
        <v>67008.4</v>
      </c>
      <c r="AO120" s="300">
        <f t="shared" si="37"/>
        <v>67008.4</v>
      </c>
      <c r="AP120" s="300">
        <f t="shared" si="37"/>
        <v>0</v>
      </c>
      <c r="AQ120" s="300">
        <f t="shared" si="37"/>
        <v>0</v>
      </c>
      <c r="AR120" s="300">
        <f t="shared" si="37"/>
        <v>0</v>
      </c>
      <c r="AS120" s="91"/>
      <c r="AT120" s="281" t="e">
        <f>SUM(AT118)</f>
        <v>#REF!</v>
      </c>
      <c r="AU120" s="281" t="e">
        <f>SUM(AU118)</f>
        <v>#VALUE!</v>
      </c>
      <c r="AV120" s="281">
        <f>SUM(AV118)</f>
        <v>2850000</v>
      </c>
      <c r="AW120" s="281">
        <f>SUM(AW118)</f>
        <v>6733702.31</v>
      </c>
      <c r="AX120" s="281">
        <f>SUM(AX118)</f>
        <v>9583702.309999999</v>
      </c>
      <c r="AY120" s="91"/>
      <c r="AZ120" s="144"/>
      <c r="BA120" s="91" t="s">
        <v>420</v>
      </c>
      <c r="BB120" s="91"/>
      <c r="BC120" s="91"/>
      <c r="BD120" s="91"/>
      <c r="BE120" s="91"/>
      <c r="BF120" s="91"/>
      <c r="BG120" s="91"/>
      <c r="BH120" s="91"/>
    </row>
    <row r="121" spans="2:60" s="17" customFormat="1" ht="19.5" thickTop="1">
      <c r="B121" s="247"/>
      <c r="C121" s="247"/>
      <c r="D121" s="247"/>
      <c r="E121" s="247"/>
      <c r="F121" s="247"/>
      <c r="G121" s="106"/>
      <c r="H121" s="144"/>
      <c r="I121" s="231"/>
      <c r="J121" s="231"/>
      <c r="K121" s="231"/>
      <c r="L121" s="231"/>
      <c r="M121" s="231"/>
      <c r="N121" s="91"/>
      <c r="O121" s="214"/>
      <c r="P121" s="214"/>
      <c r="Q121" s="214"/>
      <c r="R121" s="214"/>
      <c r="S121" s="214"/>
      <c r="T121" s="91"/>
      <c r="U121" s="197"/>
      <c r="V121" s="197"/>
      <c r="W121" s="197"/>
      <c r="X121" s="197"/>
      <c r="Y121" s="197"/>
      <c r="Z121" s="91"/>
      <c r="AA121" s="179"/>
      <c r="AB121" s="179"/>
      <c r="AC121" s="179"/>
      <c r="AD121" s="179"/>
      <c r="AE121" s="179"/>
      <c r="AF121" s="106"/>
      <c r="AG121" s="161"/>
      <c r="AH121" s="161"/>
      <c r="AI121" s="161"/>
      <c r="AJ121" s="161"/>
      <c r="AK121" s="161"/>
      <c r="AL121" s="91"/>
      <c r="AM121" s="106"/>
      <c r="AN121" s="106"/>
      <c r="AO121" s="106"/>
      <c r="AP121" s="106"/>
      <c r="AQ121" s="106"/>
      <c r="AR121" s="106"/>
      <c r="AS121" s="91"/>
      <c r="AT121" s="277"/>
      <c r="AU121" s="277"/>
      <c r="AV121" s="277"/>
      <c r="AW121" s="277"/>
      <c r="AX121" s="277"/>
      <c r="AY121" s="91"/>
      <c r="AZ121" s="144"/>
      <c r="BA121" s="91"/>
      <c r="BB121" s="91"/>
      <c r="BC121" s="91"/>
      <c r="BD121" s="91"/>
      <c r="BE121" s="91"/>
      <c r="BF121" s="91"/>
      <c r="BG121" s="91"/>
      <c r="BH121" s="91"/>
    </row>
    <row r="122" spans="2:60" s="17" customFormat="1" ht="18.75">
      <c r="B122" s="247"/>
      <c r="C122" s="247"/>
      <c r="D122" s="247"/>
      <c r="E122" s="247"/>
      <c r="F122" s="247"/>
      <c r="G122" s="106"/>
      <c r="H122" s="144"/>
      <c r="I122" s="231"/>
      <c r="J122" s="231"/>
      <c r="K122" s="231"/>
      <c r="L122" s="231"/>
      <c r="M122" s="231"/>
      <c r="N122" s="91"/>
      <c r="O122" s="214"/>
      <c r="P122" s="214"/>
      <c r="Q122" s="214"/>
      <c r="R122" s="214"/>
      <c r="S122" s="214"/>
      <c r="T122" s="91"/>
      <c r="U122" s="197"/>
      <c r="V122" s="197"/>
      <c r="W122" s="197"/>
      <c r="X122" s="197"/>
      <c r="Y122" s="197"/>
      <c r="Z122" s="91"/>
      <c r="AA122" s="179"/>
      <c r="AB122" s="179"/>
      <c r="AC122" s="179"/>
      <c r="AD122" s="179"/>
      <c r="AE122" s="179"/>
      <c r="AF122" s="106"/>
      <c r="AG122" s="161"/>
      <c r="AH122" s="161"/>
      <c r="AI122" s="161"/>
      <c r="AJ122" s="161"/>
      <c r="AK122" s="161"/>
      <c r="AL122" s="91" t="s">
        <v>421</v>
      </c>
      <c r="AM122" s="106"/>
      <c r="AN122" s="106"/>
      <c r="AO122" s="106"/>
      <c r="AP122" s="106"/>
      <c r="AQ122" s="106"/>
      <c r="AR122" s="106"/>
      <c r="AS122" s="91"/>
      <c r="AT122" s="277"/>
      <c r="AU122" s="277"/>
      <c r="AV122" s="277"/>
      <c r="AW122" s="277"/>
      <c r="AX122" s="277"/>
      <c r="AY122" s="91"/>
      <c r="AZ122" s="144"/>
      <c r="BA122" s="91" t="s">
        <v>421</v>
      </c>
      <c r="BB122" s="91"/>
      <c r="BC122" s="91"/>
      <c r="BD122" s="91"/>
      <c r="BE122" s="91"/>
      <c r="BF122" s="91"/>
      <c r="BG122" s="91"/>
      <c r="BH122" s="91"/>
    </row>
    <row r="123" spans="1:50" ht="18.75">
      <c r="A123" s="51" t="s">
        <v>467</v>
      </c>
      <c r="B123" s="248" t="s">
        <v>56</v>
      </c>
      <c r="C123" s="249" t="s">
        <v>57</v>
      </c>
      <c r="D123" s="248" t="s">
        <v>56</v>
      </c>
      <c r="E123" s="248" t="s">
        <v>57</v>
      </c>
      <c r="F123" s="250"/>
      <c r="G123" s="97"/>
      <c r="I123" s="232" t="s">
        <v>56</v>
      </c>
      <c r="J123" s="232" t="s">
        <v>57</v>
      </c>
      <c r="K123" s="232" t="s">
        <v>56</v>
      </c>
      <c r="L123" s="232" t="s">
        <v>57</v>
      </c>
      <c r="M123" s="232" t="s">
        <v>101</v>
      </c>
      <c r="O123" s="215" t="s">
        <v>56</v>
      </c>
      <c r="P123" s="215" t="s">
        <v>57</v>
      </c>
      <c r="Q123" s="215" t="s">
        <v>56</v>
      </c>
      <c r="R123" s="215" t="s">
        <v>57</v>
      </c>
      <c r="S123" s="215" t="s">
        <v>101</v>
      </c>
      <c r="U123" s="198" t="s">
        <v>56</v>
      </c>
      <c r="V123" s="198" t="s">
        <v>57</v>
      </c>
      <c r="W123" s="198" t="s">
        <v>56</v>
      </c>
      <c r="X123" s="198" t="s">
        <v>57</v>
      </c>
      <c r="Y123" s="198" t="s">
        <v>101</v>
      </c>
      <c r="AA123" s="180" t="s">
        <v>56</v>
      </c>
      <c r="AB123" s="180" t="s">
        <v>57</v>
      </c>
      <c r="AC123" s="180" t="s">
        <v>56</v>
      </c>
      <c r="AD123" s="180" t="s">
        <v>57</v>
      </c>
      <c r="AE123" s="180" t="s">
        <v>101</v>
      </c>
      <c r="AF123" s="97"/>
      <c r="AG123" s="162" t="s">
        <v>56</v>
      </c>
      <c r="AH123" s="162" t="s">
        <v>57</v>
      </c>
      <c r="AI123" s="162" t="s">
        <v>56</v>
      </c>
      <c r="AJ123" s="162" t="s">
        <v>57</v>
      </c>
      <c r="AK123" s="162" t="s">
        <v>101</v>
      </c>
      <c r="AM123" s="18" t="s">
        <v>56</v>
      </c>
      <c r="AN123" s="18" t="s">
        <v>57</v>
      </c>
      <c r="AO123" s="18" t="s">
        <v>101</v>
      </c>
      <c r="AP123" s="18" t="s">
        <v>56</v>
      </c>
      <c r="AQ123" s="18" t="s">
        <v>57</v>
      </c>
      <c r="AR123" s="18" t="s">
        <v>101</v>
      </c>
      <c r="AT123" s="278" t="s">
        <v>56</v>
      </c>
      <c r="AU123" s="278" t="s">
        <v>57</v>
      </c>
      <c r="AV123" s="278" t="s">
        <v>56</v>
      </c>
      <c r="AW123" s="278" t="s">
        <v>57</v>
      </c>
      <c r="AX123" s="278" t="s">
        <v>101</v>
      </c>
    </row>
    <row r="124" spans="1:53" ht="18.75">
      <c r="A124" s="43" t="s">
        <v>227</v>
      </c>
      <c r="B124" s="269"/>
      <c r="C124" s="270"/>
      <c r="D124" s="269">
        <f>362431098.7-113405868.49-79186389.79-31679780</f>
        <v>138159060.41999996</v>
      </c>
      <c r="E124" s="290"/>
      <c r="F124" s="247">
        <f>SUM(B124:C124)</f>
        <v>0</v>
      </c>
      <c r="I124" s="242"/>
      <c r="J124" s="243"/>
      <c r="K124" s="242">
        <v>41351077.12</v>
      </c>
      <c r="L124" s="243"/>
      <c r="M124" s="243">
        <f>SUM(K124:L124)</f>
        <v>41351077.12</v>
      </c>
      <c r="O124" s="225"/>
      <c r="P124" s="226"/>
      <c r="Q124" s="225">
        <v>32738300</v>
      </c>
      <c r="R124" s="226"/>
      <c r="S124" s="226">
        <f>SUM(Q124:R124)</f>
        <v>32738300</v>
      </c>
      <c r="U124" s="208"/>
      <c r="V124" s="209"/>
      <c r="W124" s="208">
        <f>1797170+36990015.56</f>
        <v>38787185.56</v>
      </c>
      <c r="X124" s="209"/>
      <c r="Y124" s="209">
        <f>SUM(W124:X124)</f>
        <v>38787185.56</v>
      </c>
      <c r="AA124" s="190"/>
      <c r="AB124" s="191"/>
      <c r="AC124" s="190">
        <v>22127248.63</v>
      </c>
      <c r="AD124" s="191"/>
      <c r="AE124" s="191">
        <f aca="true" t="shared" si="38" ref="AE124:AE130">SUM(AC124:AD124)</f>
        <v>22127248.63</v>
      </c>
      <c r="AG124" s="173"/>
      <c r="AH124" s="172"/>
      <c r="AI124" s="173">
        <v>58579176.74</v>
      </c>
      <c r="AJ124" s="172"/>
      <c r="AK124" s="172">
        <f aca="true" t="shared" si="39" ref="AK124:AK130">SUM(AI124:AJ124)</f>
        <v>58579176.74</v>
      </c>
      <c r="AL124" s="50" t="s">
        <v>422</v>
      </c>
      <c r="AM124" s="306">
        <v>39875179.28</v>
      </c>
      <c r="AN124" s="307">
        <v>0</v>
      </c>
      <c r="AO124" s="307">
        <f>SUM(AM124:AN124)</f>
        <v>39875179.28</v>
      </c>
      <c r="AP124" s="306">
        <v>44457704.23</v>
      </c>
      <c r="AQ124" s="307">
        <v>0</v>
      </c>
      <c r="AR124" s="307">
        <f aca="true" t="shared" si="40" ref="AR124:AR130">SUM(AP124:AQ124)</f>
        <v>44457704.23</v>
      </c>
      <c r="AT124" s="279" t="e">
        <f>+#REF!+I124+O124+U124+AA124+AG124+AM124</f>
        <v>#REF!</v>
      </c>
      <c r="AU124" s="279" t="e">
        <f aca="true" t="shared" si="41" ref="AU124:AU130">+A124+J124+P124+V124+AB124+AH124+AN124</f>
        <v>#VALUE!</v>
      </c>
      <c r="AV124" s="279">
        <f aca="true" t="shared" si="42" ref="AV124:AW130">+B124+K124+Q124+W124+AC124+AI124+AP124</f>
        <v>238040692.28</v>
      </c>
      <c r="AW124" s="279">
        <f t="shared" si="42"/>
        <v>0</v>
      </c>
      <c r="AX124" s="279">
        <f>SUM(AV124:AW124)</f>
        <v>238040692.28</v>
      </c>
      <c r="AY124" s="50">
        <v>376199752.7</v>
      </c>
      <c r="AZ124" s="137">
        <f>+AX124-AY124</f>
        <v>-138159060.42</v>
      </c>
      <c r="BA124" s="50" t="s">
        <v>422</v>
      </c>
    </row>
    <row r="125" spans="1:53" ht="18.75">
      <c r="A125" s="43" t="s">
        <v>228</v>
      </c>
      <c r="B125" s="271"/>
      <c r="C125" s="252"/>
      <c r="D125" s="271">
        <v>276846242.72</v>
      </c>
      <c r="E125" s="251"/>
      <c r="F125" s="247">
        <f aca="true" t="shared" si="43" ref="F125:F130">SUM(B125:C125)</f>
        <v>0</v>
      </c>
      <c r="I125" s="244"/>
      <c r="J125" s="233"/>
      <c r="K125" s="244">
        <v>16270200</v>
      </c>
      <c r="L125" s="233"/>
      <c r="M125" s="243">
        <f aca="true" t="shared" si="44" ref="M125:M130">SUM(K125:L125)</f>
        <v>16270200</v>
      </c>
      <c r="O125" s="227"/>
      <c r="P125" s="216"/>
      <c r="Q125" s="227">
        <v>4101740</v>
      </c>
      <c r="R125" s="216"/>
      <c r="S125" s="226">
        <f aca="true" t="shared" si="45" ref="S125:S130">SUM(Q125:R125)</f>
        <v>4101740</v>
      </c>
      <c r="U125" s="210"/>
      <c r="V125" s="199"/>
      <c r="W125" s="210">
        <v>35946731.15</v>
      </c>
      <c r="X125" s="199"/>
      <c r="Y125" s="209">
        <f aca="true" t="shared" si="46" ref="Y125:Y130">SUM(W125:X125)</f>
        <v>35946731.15</v>
      </c>
      <c r="AA125" s="192"/>
      <c r="AB125" s="181"/>
      <c r="AC125" s="192">
        <v>20936930</v>
      </c>
      <c r="AD125" s="181"/>
      <c r="AE125" s="191">
        <f t="shared" si="38"/>
        <v>20936930</v>
      </c>
      <c r="AG125" s="174"/>
      <c r="AH125" s="163"/>
      <c r="AI125" s="174">
        <v>46638528.5</v>
      </c>
      <c r="AJ125" s="163"/>
      <c r="AK125" s="172">
        <f t="shared" si="39"/>
        <v>46638528.5</v>
      </c>
      <c r="AL125" s="50" t="s">
        <v>423</v>
      </c>
      <c r="AM125" s="308">
        <v>30968851</v>
      </c>
      <c r="AN125" s="107">
        <v>0</v>
      </c>
      <c r="AO125" s="307">
        <f aca="true" t="shared" si="47" ref="AO125:AO130">SUM(AM125:AN125)</f>
        <v>30968851</v>
      </c>
      <c r="AP125" s="308">
        <v>38115705</v>
      </c>
      <c r="AQ125" s="107">
        <v>0</v>
      </c>
      <c r="AR125" s="307">
        <f t="shared" si="40"/>
        <v>38115705</v>
      </c>
      <c r="AT125" s="279" t="e">
        <f>+#REF!+I125+O125+U125+AA125+AG125+AM125</f>
        <v>#REF!</v>
      </c>
      <c r="AU125" s="279" t="e">
        <f t="shared" si="41"/>
        <v>#VALUE!</v>
      </c>
      <c r="AV125" s="279">
        <f t="shared" si="42"/>
        <v>162009834.65</v>
      </c>
      <c r="AW125" s="279">
        <f t="shared" si="42"/>
        <v>0</v>
      </c>
      <c r="AX125" s="279">
        <f aca="true" t="shared" si="48" ref="AX125:AX130">SUM(AV125:AW125)</f>
        <v>162009834.65</v>
      </c>
      <c r="AY125" s="50">
        <v>438856077.37</v>
      </c>
      <c r="AZ125" s="137">
        <f aca="true" t="shared" si="49" ref="AZ125:AZ131">+AX125-AY125</f>
        <v>-276846242.72</v>
      </c>
      <c r="BA125" s="50" t="s">
        <v>423</v>
      </c>
    </row>
    <row r="126" spans="1:52" ht="18.75">
      <c r="A126" s="43" t="s">
        <v>229</v>
      </c>
      <c r="B126" s="271"/>
      <c r="C126" s="252"/>
      <c r="D126" s="271">
        <f>101250339.94</f>
        <v>101250339.94</v>
      </c>
      <c r="E126" s="251"/>
      <c r="F126" s="247">
        <f t="shared" si="43"/>
        <v>0</v>
      </c>
      <c r="I126" s="244"/>
      <c r="J126" s="233"/>
      <c r="K126" s="244">
        <v>19693050.48</v>
      </c>
      <c r="L126" s="233"/>
      <c r="M126" s="243">
        <f t="shared" si="44"/>
        <v>19693050.48</v>
      </c>
      <c r="O126" s="227"/>
      <c r="P126" s="216"/>
      <c r="Q126" s="227">
        <v>2602505.99</v>
      </c>
      <c r="R126" s="216"/>
      <c r="S126" s="226">
        <f t="shared" si="45"/>
        <v>2602505.99</v>
      </c>
      <c r="U126" s="210"/>
      <c r="V126" s="199"/>
      <c r="W126" s="210">
        <v>12062359.11</v>
      </c>
      <c r="X126" s="199"/>
      <c r="Y126" s="209">
        <f t="shared" si="46"/>
        <v>12062359.11</v>
      </c>
      <c r="AA126" s="192"/>
      <c r="AB126" s="181"/>
      <c r="AC126" s="192">
        <v>16679026.85</v>
      </c>
      <c r="AD126" s="181"/>
      <c r="AE126" s="191">
        <f t="shared" si="38"/>
        <v>16679026.85</v>
      </c>
      <c r="AG126" s="174"/>
      <c r="AH126" s="163"/>
      <c r="AI126" s="174">
        <v>26200188.85</v>
      </c>
      <c r="AJ126" s="163"/>
      <c r="AK126" s="172">
        <f t="shared" si="39"/>
        <v>26200188.85</v>
      </c>
      <c r="AM126" s="308">
        <v>12762544.23</v>
      </c>
      <c r="AN126" s="107">
        <v>0</v>
      </c>
      <c r="AO126" s="307">
        <f t="shared" si="47"/>
        <v>12762544.23</v>
      </c>
      <c r="AP126" s="308">
        <v>13917286.44</v>
      </c>
      <c r="AQ126" s="107">
        <v>0</v>
      </c>
      <c r="AR126" s="307">
        <f t="shared" si="40"/>
        <v>13917286.44</v>
      </c>
      <c r="AT126" s="279" t="e">
        <f>+#REF!+I126+O126+U126+AA126+AG126+AM126</f>
        <v>#REF!</v>
      </c>
      <c r="AU126" s="279" t="e">
        <f t="shared" si="41"/>
        <v>#VALUE!</v>
      </c>
      <c r="AV126" s="279">
        <f t="shared" si="42"/>
        <v>91154417.72</v>
      </c>
      <c r="AW126" s="279">
        <f t="shared" si="42"/>
        <v>0</v>
      </c>
      <c r="AX126" s="279">
        <f t="shared" si="48"/>
        <v>91154417.72</v>
      </c>
      <c r="AY126" s="50">
        <v>192404757.65999997</v>
      </c>
      <c r="AZ126" s="137">
        <f t="shared" si="49"/>
        <v>-101250339.93999997</v>
      </c>
    </row>
    <row r="127" spans="1:53" ht="18.75">
      <c r="A127" s="43" t="s">
        <v>230</v>
      </c>
      <c r="B127" s="271"/>
      <c r="C127" s="252"/>
      <c r="D127" s="271">
        <v>239357773.63</v>
      </c>
      <c r="E127" s="251"/>
      <c r="F127" s="247">
        <f t="shared" si="43"/>
        <v>0</v>
      </c>
      <c r="I127" s="244"/>
      <c r="J127" s="233"/>
      <c r="K127" s="244">
        <v>25340898.52</v>
      </c>
      <c r="L127" s="233"/>
      <c r="M127" s="243">
        <f t="shared" si="44"/>
        <v>25340898.52</v>
      </c>
      <c r="O127" s="227"/>
      <c r="P127" s="216"/>
      <c r="Q127" s="227">
        <v>9558704.8</v>
      </c>
      <c r="R127" s="216"/>
      <c r="S127" s="226">
        <f t="shared" si="45"/>
        <v>9558704.8</v>
      </c>
      <c r="U127" s="210"/>
      <c r="V127" s="199"/>
      <c r="W127" s="210">
        <v>27959084.3</v>
      </c>
      <c r="X127" s="199"/>
      <c r="Y127" s="209">
        <f t="shared" si="46"/>
        <v>27959084.3</v>
      </c>
      <c r="AA127" s="192"/>
      <c r="AB127" s="181"/>
      <c r="AC127" s="192">
        <v>32754708</v>
      </c>
      <c r="AD127" s="181"/>
      <c r="AE127" s="191">
        <f t="shared" si="38"/>
        <v>32754708</v>
      </c>
      <c r="AG127" s="174"/>
      <c r="AH127" s="163"/>
      <c r="AI127" s="174">
        <v>38966305.87</v>
      </c>
      <c r="AJ127" s="163"/>
      <c r="AK127" s="172">
        <f t="shared" si="39"/>
        <v>38966305.87</v>
      </c>
      <c r="AL127" s="50" t="s">
        <v>424</v>
      </c>
      <c r="AM127" s="308">
        <v>27646993</v>
      </c>
      <c r="AN127" s="107">
        <v>0</v>
      </c>
      <c r="AO127" s="307">
        <f t="shared" si="47"/>
        <v>27646993</v>
      </c>
      <c r="AP127" s="308">
        <v>27437840.8</v>
      </c>
      <c r="AQ127" s="107">
        <v>0</v>
      </c>
      <c r="AR127" s="307">
        <f t="shared" si="40"/>
        <v>27437840.8</v>
      </c>
      <c r="AT127" s="279" t="e">
        <f>+#REF!+I127+O127+U127+AA127+AG127+AM127</f>
        <v>#REF!</v>
      </c>
      <c r="AU127" s="279" t="e">
        <f t="shared" si="41"/>
        <v>#VALUE!</v>
      </c>
      <c r="AV127" s="279">
        <f t="shared" si="42"/>
        <v>162017542.29000002</v>
      </c>
      <c r="AW127" s="279">
        <f t="shared" si="42"/>
        <v>0</v>
      </c>
      <c r="AX127" s="279">
        <f t="shared" si="48"/>
        <v>162017542.29000002</v>
      </c>
      <c r="AY127" s="50">
        <v>401375315.92</v>
      </c>
      <c r="AZ127" s="137">
        <f t="shared" si="49"/>
        <v>-239357773.63</v>
      </c>
      <c r="BA127" s="50" t="s">
        <v>424</v>
      </c>
    </row>
    <row r="128" spans="1:53" ht="18.75">
      <c r="A128" s="43" t="s">
        <v>231</v>
      </c>
      <c r="B128" s="271"/>
      <c r="C128" s="252"/>
      <c r="D128" s="271">
        <v>153135451.95</v>
      </c>
      <c r="E128" s="251"/>
      <c r="F128" s="247">
        <f t="shared" si="43"/>
        <v>0</v>
      </c>
      <c r="I128" s="244"/>
      <c r="J128" s="233"/>
      <c r="K128" s="244">
        <v>4819517.38</v>
      </c>
      <c r="L128" s="233"/>
      <c r="M128" s="243">
        <f t="shared" si="44"/>
        <v>4819517.38</v>
      </c>
      <c r="O128" s="227"/>
      <c r="P128" s="216"/>
      <c r="Q128" s="227">
        <v>5432288.28</v>
      </c>
      <c r="R128" s="216"/>
      <c r="S128" s="226">
        <f t="shared" si="45"/>
        <v>5432288.28</v>
      </c>
      <c r="U128" s="210"/>
      <c r="V128" s="199"/>
      <c r="W128" s="210">
        <v>10699548</v>
      </c>
      <c r="X128" s="199"/>
      <c r="Y128" s="209">
        <f t="shared" si="46"/>
        <v>10699548</v>
      </c>
      <c r="AA128" s="192"/>
      <c r="AB128" s="181"/>
      <c r="AC128" s="192">
        <v>5308021.02</v>
      </c>
      <c r="AD128" s="181"/>
      <c r="AE128" s="191">
        <f t="shared" si="38"/>
        <v>5308021.02</v>
      </c>
      <c r="AG128" s="174"/>
      <c r="AH128" s="163"/>
      <c r="AI128" s="174">
        <v>3095241.04</v>
      </c>
      <c r="AJ128" s="163"/>
      <c r="AK128" s="172">
        <f t="shared" si="39"/>
        <v>3095241.04</v>
      </c>
      <c r="AL128" s="50" t="s">
        <v>425</v>
      </c>
      <c r="AM128" s="308">
        <v>4981448.78</v>
      </c>
      <c r="AN128" s="107">
        <v>0</v>
      </c>
      <c r="AO128" s="307">
        <f t="shared" si="47"/>
        <v>4981448.78</v>
      </c>
      <c r="AP128" s="308">
        <v>4673572.38</v>
      </c>
      <c r="AQ128" s="107">
        <v>0</v>
      </c>
      <c r="AR128" s="307">
        <f t="shared" si="40"/>
        <v>4673572.38</v>
      </c>
      <c r="AT128" s="279" t="e">
        <f>+#REF!+I128+O128+U128+AA128+AG128+AM128</f>
        <v>#REF!</v>
      </c>
      <c r="AU128" s="279" t="e">
        <f t="shared" si="41"/>
        <v>#VALUE!</v>
      </c>
      <c r="AV128" s="279">
        <f t="shared" si="42"/>
        <v>34028188.1</v>
      </c>
      <c r="AW128" s="279">
        <f t="shared" si="42"/>
        <v>0</v>
      </c>
      <c r="AX128" s="279">
        <f t="shared" si="48"/>
        <v>34028188.1</v>
      </c>
      <c r="AY128" s="50">
        <v>187163640.04999998</v>
      </c>
      <c r="AZ128" s="137">
        <f t="shared" si="49"/>
        <v>-153135451.95</v>
      </c>
      <c r="BA128" s="50" t="s">
        <v>425</v>
      </c>
    </row>
    <row r="129" spans="1:52" ht="18.75">
      <c r="A129" s="43" t="s">
        <v>232</v>
      </c>
      <c r="B129" s="271"/>
      <c r="C129" s="252"/>
      <c r="D129" s="271">
        <v>224757351.12</v>
      </c>
      <c r="E129" s="251"/>
      <c r="F129" s="247">
        <f t="shared" si="43"/>
        <v>0</v>
      </c>
      <c r="I129" s="244"/>
      <c r="J129" s="233"/>
      <c r="K129" s="244">
        <v>3321166.6</v>
      </c>
      <c r="L129" s="233"/>
      <c r="M129" s="243">
        <f t="shared" si="44"/>
        <v>3321166.6</v>
      </c>
      <c r="O129" s="227"/>
      <c r="P129" s="216"/>
      <c r="Q129" s="227">
        <v>1293144.07</v>
      </c>
      <c r="R129" s="216"/>
      <c r="S129" s="226">
        <f t="shared" si="45"/>
        <v>1293144.07</v>
      </c>
      <c r="U129" s="210"/>
      <c r="V129" s="199"/>
      <c r="W129" s="210">
        <f>5522899+740460.3</f>
        <v>6263359.3</v>
      </c>
      <c r="X129" s="199"/>
      <c r="Y129" s="209">
        <f t="shared" si="46"/>
        <v>6263359.3</v>
      </c>
      <c r="AA129" s="192"/>
      <c r="AB129" s="181"/>
      <c r="AC129" s="192">
        <f>9234309.13-5555668.47</f>
        <v>3678640.660000001</v>
      </c>
      <c r="AD129" s="181"/>
      <c r="AE129" s="191">
        <f t="shared" si="38"/>
        <v>3678640.660000001</v>
      </c>
      <c r="AG129" s="174"/>
      <c r="AH129" s="163"/>
      <c r="AI129" s="174">
        <v>5264558.55</v>
      </c>
      <c r="AJ129" s="163"/>
      <c r="AK129" s="172">
        <f t="shared" si="39"/>
        <v>5264558.55</v>
      </c>
      <c r="AM129" s="308">
        <v>2636400.6</v>
      </c>
      <c r="AN129" s="107">
        <v>0</v>
      </c>
      <c r="AO129" s="307">
        <f t="shared" si="47"/>
        <v>2636400.6</v>
      </c>
      <c r="AP129" s="308">
        <v>5331577.02</v>
      </c>
      <c r="AQ129" s="107">
        <v>0</v>
      </c>
      <c r="AR129" s="307">
        <f t="shared" si="40"/>
        <v>5331577.02</v>
      </c>
      <c r="AT129" s="279" t="e">
        <f>+#REF!+I129+O129+U129+AA129+AG129+AM129</f>
        <v>#REF!</v>
      </c>
      <c r="AU129" s="279" t="e">
        <f t="shared" si="41"/>
        <v>#VALUE!</v>
      </c>
      <c r="AV129" s="279">
        <f t="shared" si="42"/>
        <v>25152446.2</v>
      </c>
      <c r="AW129" s="279">
        <f t="shared" si="42"/>
        <v>0</v>
      </c>
      <c r="AX129" s="279">
        <f t="shared" si="48"/>
        <v>25152446.2</v>
      </c>
      <c r="AY129" s="50">
        <v>249909797.32</v>
      </c>
      <c r="AZ129" s="137">
        <f t="shared" si="49"/>
        <v>-224757351.12</v>
      </c>
    </row>
    <row r="130" spans="1:52" ht="18.75">
      <c r="A130" s="80" t="s">
        <v>267</v>
      </c>
      <c r="B130" s="251"/>
      <c r="C130" s="252"/>
      <c r="D130" s="251">
        <f>+-8106936.3</f>
        <v>-8106936.3</v>
      </c>
      <c r="E130" s="251"/>
      <c r="F130" s="247">
        <f t="shared" si="43"/>
        <v>0</v>
      </c>
      <c r="I130" s="233"/>
      <c r="J130" s="233"/>
      <c r="K130" s="233">
        <v>-124002.74</v>
      </c>
      <c r="L130" s="233"/>
      <c r="M130" s="243">
        <f t="shared" si="44"/>
        <v>-124002.74</v>
      </c>
      <c r="O130" s="216"/>
      <c r="P130" s="216"/>
      <c r="Q130" s="216"/>
      <c r="R130" s="216"/>
      <c r="S130" s="226">
        <f t="shared" si="45"/>
        <v>0</v>
      </c>
      <c r="U130" s="199"/>
      <c r="V130" s="199"/>
      <c r="W130" s="199">
        <v>-28000</v>
      </c>
      <c r="X130" s="199"/>
      <c r="Y130" s="209">
        <f t="shared" si="46"/>
        <v>-28000</v>
      </c>
      <c r="AA130" s="181"/>
      <c r="AB130" s="181"/>
      <c r="AC130" s="181">
        <v>-149274</v>
      </c>
      <c r="AD130" s="181"/>
      <c r="AE130" s="191">
        <f t="shared" si="38"/>
        <v>-149274</v>
      </c>
      <c r="AG130" s="163"/>
      <c r="AH130" s="163"/>
      <c r="AI130" s="163">
        <v>-543761.34</v>
      </c>
      <c r="AJ130" s="163"/>
      <c r="AK130" s="172">
        <f t="shared" si="39"/>
        <v>-543761.34</v>
      </c>
      <c r="AM130" s="107">
        <v>-6000</v>
      </c>
      <c r="AN130" s="107">
        <v>0</v>
      </c>
      <c r="AO130" s="307">
        <f t="shared" si="47"/>
        <v>-6000</v>
      </c>
      <c r="AP130" s="107">
        <v>-42745.87</v>
      </c>
      <c r="AQ130" s="107">
        <v>0</v>
      </c>
      <c r="AR130" s="307">
        <f t="shared" si="40"/>
        <v>-42745.87</v>
      </c>
      <c r="AT130" s="279" t="e">
        <f>+#REF!+I130+O130+U130+AA130+AG130+AM130</f>
        <v>#REF!</v>
      </c>
      <c r="AU130" s="279" t="e">
        <f t="shared" si="41"/>
        <v>#VALUE!</v>
      </c>
      <c r="AV130" s="279">
        <f t="shared" si="42"/>
        <v>-887783.95</v>
      </c>
      <c r="AW130" s="279">
        <f t="shared" si="42"/>
        <v>0</v>
      </c>
      <c r="AX130" s="279">
        <f t="shared" si="48"/>
        <v>-887783.95</v>
      </c>
      <c r="AY130" s="50">
        <v>-8994720.25</v>
      </c>
      <c r="AZ130" s="137">
        <f t="shared" si="49"/>
        <v>8106936.3</v>
      </c>
    </row>
    <row r="131" spans="1:60" s="17" customFormat="1" ht="19.5" thickBot="1">
      <c r="A131" s="17" t="s">
        <v>293</v>
      </c>
      <c r="B131" s="255">
        <f>SUM(B124:B130)</f>
        <v>0</v>
      </c>
      <c r="C131" s="256">
        <f>SUM(C124:C130)</f>
        <v>0</v>
      </c>
      <c r="D131" s="255">
        <f>SUM(D124:D130)</f>
        <v>1125399283.4800003</v>
      </c>
      <c r="E131" s="255">
        <f>SUM(E124:E130)</f>
        <v>0</v>
      </c>
      <c r="F131" s="257">
        <f>SUM(F124:F130)</f>
        <v>0</v>
      </c>
      <c r="G131" s="106"/>
      <c r="H131" s="144"/>
      <c r="I131" s="236">
        <f>SUM(I124:I130)</f>
        <v>0</v>
      </c>
      <c r="J131" s="236">
        <f>SUM(J124:J130)</f>
        <v>0</v>
      </c>
      <c r="K131" s="236">
        <f>SUM(K124:K130)</f>
        <v>110671907.35999998</v>
      </c>
      <c r="L131" s="236">
        <f>SUM(L124:L130)</f>
        <v>0</v>
      </c>
      <c r="M131" s="236">
        <f>SUM(M124:M130)</f>
        <v>110671907.35999998</v>
      </c>
      <c r="N131" s="91"/>
      <c r="O131" s="218">
        <f>SUM(O124:O130)</f>
        <v>0</v>
      </c>
      <c r="P131" s="218">
        <f>SUM(P124:P130)</f>
        <v>0</v>
      </c>
      <c r="Q131" s="218">
        <f>SUM(Q124:Q130)</f>
        <v>55726683.14000001</v>
      </c>
      <c r="R131" s="218">
        <f>SUM(R124:R130)</f>
        <v>0</v>
      </c>
      <c r="S131" s="218">
        <f>SUM(S124:S130)</f>
        <v>55726683.14000001</v>
      </c>
      <c r="T131" s="91"/>
      <c r="U131" s="201">
        <f>SUM(U124:U130)</f>
        <v>0</v>
      </c>
      <c r="V131" s="201">
        <f>SUM(V124:V130)</f>
        <v>0</v>
      </c>
      <c r="W131" s="201">
        <f>SUM(W124:W130)</f>
        <v>131690267.42</v>
      </c>
      <c r="X131" s="201">
        <f>SUM(X124:X130)</f>
        <v>0</v>
      </c>
      <c r="Y131" s="201">
        <f>SUM(Y124:Y130)</f>
        <v>131690267.42</v>
      </c>
      <c r="Z131" s="91"/>
      <c r="AA131" s="183">
        <f>SUM(AA124:AA130)</f>
        <v>0</v>
      </c>
      <c r="AB131" s="183">
        <f>SUM(AB124:AB130)</f>
        <v>0</v>
      </c>
      <c r="AC131" s="183">
        <f>SUM(AC124:AC130)</f>
        <v>101335301.15999998</v>
      </c>
      <c r="AD131" s="183">
        <f>SUM(AD124:AD130)</f>
        <v>0</v>
      </c>
      <c r="AE131" s="183">
        <f>SUM(AE124:AE130)</f>
        <v>101335301.15999998</v>
      </c>
      <c r="AF131" s="106"/>
      <c r="AG131" s="165">
        <f>SUM(AG124:AG130)</f>
        <v>0</v>
      </c>
      <c r="AH131" s="165">
        <f>SUM(AH124:AH130)</f>
        <v>0</v>
      </c>
      <c r="AI131" s="165">
        <f>SUM(AI124:AI130)</f>
        <v>178200238.21</v>
      </c>
      <c r="AJ131" s="165">
        <f>SUM(AJ124:AJ130)</f>
        <v>0</v>
      </c>
      <c r="AK131" s="165">
        <f>SUM(AK124:AK130)</f>
        <v>178200238.21</v>
      </c>
      <c r="AL131" s="91"/>
      <c r="AM131" s="300">
        <f aca="true" t="shared" si="50" ref="AM131:AR131">SUM(AM124:AM130)</f>
        <v>118865416.89</v>
      </c>
      <c r="AN131" s="300">
        <f t="shared" si="50"/>
        <v>0</v>
      </c>
      <c r="AO131" s="300">
        <f t="shared" si="50"/>
        <v>118865416.89</v>
      </c>
      <c r="AP131" s="300">
        <f t="shared" si="50"/>
        <v>133890939.99999997</v>
      </c>
      <c r="AQ131" s="300">
        <f t="shared" si="50"/>
        <v>0</v>
      </c>
      <c r="AR131" s="300">
        <f t="shared" si="50"/>
        <v>133890939.99999997</v>
      </c>
      <c r="AS131" s="91"/>
      <c r="AT131" s="281" t="e">
        <f>SUM(AT124:AT130)</f>
        <v>#REF!</v>
      </c>
      <c r="AU131" s="281" t="e">
        <f>SUM(AU124:AU130)</f>
        <v>#VALUE!</v>
      </c>
      <c r="AV131" s="281">
        <f>SUM(AV124:AV130)</f>
        <v>711515337.2900001</v>
      </c>
      <c r="AW131" s="281">
        <f>SUM(AW124:AW130)</f>
        <v>0</v>
      </c>
      <c r="AX131" s="281">
        <f>SUM(AX124:AX130)</f>
        <v>711515337.2900001</v>
      </c>
      <c r="AY131" s="91">
        <v>1836914620.7699997</v>
      </c>
      <c r="AZ131" s="137">
        <f t="shared" si="49"/>
        <v>-1125399283.4799995</v>
      </c>
      <c r="BA131" s="91"/>
      <c r="BB131" s="91"/>
      <c r="BC131" s="91"/>
      <c r="BD131" s="91"/>
      <c r="BE131" s="91"/>
      <c r="BF131" s="91"/>
      <c r="BG131" s="91"/>
      <c r="BH131" s="91"/>
    </row>
    <row r="132" spans="2:60" s="17" customFormat="1" ht="19.5" thickTop="1">
      <c r="B132" s="247"/>
      <c r="C132" s="247"/>
      <c r="D132" s="247"/>
      <c r="E132" s="247"/>
      <c r="F132" s="247"/>
      <c r="G132" s="106"/>
      <c r="H132" s="144"/>
      <c r="I132" s="231"/>
      <c r="J132" s="231"/>
      <c r="K132" s="231"/>
      <c r="L132" s="231"/>
      <c r="M132" s="231"/>
      <c r="N132" s="91"/>
      <c r="O132" s="214"/>
      <c r="P132" s="214"/>
      <c r="Q132" s="214"/>
      <c r="R132" s="214"/>
      <c r="S132" s="214"/>
      <c r="T132" s="91"/>
      <c r="U132" s="197"/>
      <c r="V132" s="197"/>
      <c r="W132" s="197"/>
      <c r="X132" s="197"/>
      <c r="Y132" s="197"/>
      <c r="Z132" s="91"/>
      <c r="AA132" s="179"/>
      <c r="AB132" s="179"/>
      <c r="AC132" s="179"/>
      <c r="AD132" s="179"/>
      <c r="AE132" s="179"/>
      <c r="AF132" s="106"/>
      <c r="AG132" s="161"/>
      <c r="AH132" s="161"/>
      <c r="AI132" s="161"/>
      <c r="AJ132" s="161"/>
      <c r="AK132" s="161"/>
      <c r="AL132" s="91"/>
      <c r="AM132" s="106"/>
      <c r="AN132" s="106"/>
      <c r="AO132" s="106"/>
      <c r="AP132" s="106"/>
      <c r="AQ132" s="106"/>
      <c r="AR132" s="106"/>
      <c r="AS132" s="91"/>
      <c r="AT132" s="277"/>
      <c r="AU132" s="277"/>
      <c r="AV132" s="277"/>
      <c r="AW132" s="277"/>
      <c r="AX132" s="277"/>
      <c r="AY132" s="91"/>
      <c r="AZ132" s="137"/>
      <c r="BA132" s="91"/>
      <c r="BB132" s="91"/>
      <c r="BC132" s="91"/>
      <c r="BD132" s="91"/>
      <c r="BE132" s="91"/>
      <c r="BF132" s="91"/>
      <c r="BG132" s="91"/>
      <c r="BH132" s="91"/>
    </row>
    <row r="133" spans="2:60" s="17" customFormat="1" ht="18.75">
      <c r="B133" s="247"/>
      <c r="C133" s="247"/>
      <c r="D133" s="247"/>
      <c r="E133" s="247"/>
      <c r="F133" s="247"/>
      <c r="G133" s="106"/>
      <c r="H133" s="144"/>
      <c r="I133" s="231"/>
      <c r="J133" s="231"/>
      <c r="K133" s="231"/>
      <c r="L133" s="231"/>
      <c r="M133" s="231"/>
      <c r="N133" s="91"/>
      <c r="O133" s="214"/>
      <c r="P133" s="214"/>
      <c r="Q133" s="214"/>
      <c r="R133" s="214"/>
      <c r="S133" s="214"/>
      <c r="T133" s="91"/>
      <c r="U133" s="197"/>
      <c r="V133" s="197"/>
      <c r="W133" s="197"/>
      <c r="X133" s="197"/>
      <c r="Y133" s="197"/>
      <c r="Z133" s="91"/>
      <c r="AA133" s="179"/>
      <c r="AB133" s="179"/>
      <c r="AC133" s="179"/>
      <c r="AD133" s="179"/>
      <c r="AE133" s="179"/>
      <c r="AF133" s="106"/>
      <c r="AG133" s="161"/>
      <c r="AH133" s="161"/>
      <c r="AI133" s="161"/>
      <c r="AJ133" s="161"/>
      <c r="AK133" s="161"/>
      <c r="AL133" s="91"/>
      <c r="AM133" s="106"/>
      <c r="AN133" s="106"/>
      <c r="AO133" s="106"/>
      <c r="AP133" s="106"/>
      <c r="AQ133" s="106"/>
      <c r="AR133" s="106"/>
      <c r="AS133" s="91"/>
      <c r="AT133" s="277"/>
      <c r="AU133" s="277"/>
      <c r="AV133" s="277"/>
      <c r="AW133" s="277"/>
      <c r="AX133" s="277"/>
      <c r="AY133" s="91"/>
      <c r="AZ133" s="137"/>
      <c r="BA133" s="91"/>
      <c r="BB133" s="91"/>
      <c r="BC133" s="91"/>
      <c r="BD133" s="91"/>
      <c r="BE133" s="91"/>
      <c r="BF133" s="91"/>
      <c r="BG133" s="91"/>
      <c r="BH133" s="91"/>
    </row>
    <row r="134" spans="1:50" ht="18.75">
      <c r="A134" s="51" t="s">
        <v>468</v>
      </c>
      <c r="B134" s="248" t="s">
        <v>56</v>
      </c>
      <c r="C134" s="249" t="s">
        <v>57</v>
      </c>
      <c r="D134" s="248" t="s">
        <v>56</v>
      </c>
      <c r="E134" s="248" t="s">
        <v>57</v>
      </c>
      <c r="F134" s="250"/>
      <c r="G134" s="97"/>
      <c r="I134" s="232" t="s">
        <v>56</v>
      </c>
      <c r="J134" s="232" t="s">
        <v>57</v>
      </c>
      <c r="K134" s="232" t="s">
        <v>56</v>
      </c>
      <c r="L134" s="232" t="s">
        <v>57</v>
      </c>
      <c r="M134" s="232" t="s">
        <v>101</v>
      </c>
      <c r="O134" s="215" t="s">
        <v>56</v>
      </c>
      <c r="P134" s="215" t="s">
        <v>57</v>
      </c>
      <c r="Q134" s="215" t="s">
        <v>56</v>
      </c>
      <c r="R134" s="215" t="s">
        <v>57</v>
      </c>
      <c r="S134" s="215" t="s">
        <v>101</v>
      </c>
      <c r="U134" s="198" t="s">
        <v>56</v>
      </c>
      <c r="V134" s="198" t="s">
        <v>57</v>
      </c>
      <c r="W134" s="198" t="s">
        <v>56</v>
      </c>
      <c r="X134" s="198" t="s">
        <v>57</v>
      </c>
      <c r="Y134" s="198" t="s">
        <v>101</v>
      </c>
      <c r="AA134" s="180" t="s">
        <v>56</v>
      </c>
      <c r="AB134" s="180" t="s">
        <v>57</v>
      </c>
      <c r="AC134" s="180" t="s">
        <v>56</v>
      </c>
      <c r="AD134" s="180" t="s">
        <v>57</v>
      </c>
      <c r="AE134" s="180" t="s">
        <v>101</v>
      </c>
      <c r="AF134" s="97"/>
      <c r="AG134" s="162" t="s">
        <v>56</v>
      </c>
      <c r="AH134" s="162" t="s">
        <v>57</v>
      </c>
      <c r="AI134" s="162" t="s">
        <v>56</v>
      </c>
      <c r="AJ134" s="162" t="s">
        <v>57</v>
      </c>
      <c r="AK134" s="162" t="s">
        <v>101</v>
      </c>
      <c r="AM134" s="18" t="s">
        <v>56</v>
      </c>
      <c r="AN134" s="18" t="s">
        <v>57</v>
      </c>
      <c r="AO134" s="18" t="s">
        <v>101</v>
      </c>
      <c r="AP134" s="18" t="s">
        <v>56</v>
      </c>
      <c r="AQ134" s="18" t="s">
        <v>57</v>
      </c>
      <c r="AR134" s="18" t="s">
        <v>101</v>
      </c>
      <c r="AT134" s="278" t="s">
        <v>56</v>
      </c>
      <c r="AU134" s="278" t="s">
        <v>57</v>
      </c>
      <c r="AV134" s="278" t="s">
        <v>56</v>
      </c>
      <c r="AW134" s="278" t="s">
        <v>57</v>
      </c>
      <c r="AX134" s="278" t="s">
        <v>101</v>
      </c>
    </row>
    <row r="135" spans="1:50" ht="18.75">
      <c r="A135" s="63" t="s">
        <v>87</v>
      </c>
      <c r="B135" s="251"/>
      <c r="C135" s="272"/>
      <c r="D135" s="251">
        <v>0</v>
      </c>
      <c r="E135" s="271">
        <v>244180147.59</v>
      </c>
      <c r="F135" s="247">
        <f>SUM(B135:C135)</f>
        <v>0</v>
      </c>
      <c r="I135" s="233"/>
      <c r="J135" s="244"/>
      <c r="K135" s="233"/>
      <c r="L135" s="244">
        <v>34349800</v>
      </c>
      <c r="M135" s="233">
        <f>SUM(K135:L135)</f>
        <v>34349800</v>
      </c>
      <c r="O135" s="216"/>
      <c r="P135" s="227"/>
      <c r="Q135" s="216"/>
      <c r="R135" s="227"/>
      <c r="S135" s="216">
        <f>SUM(Q135:R135)</f>
        <v>0</v>
      </c>
      <c r="U135" s="199"/>
      <c r="V135" s="210"/>
      <c r="W135" s="199"/>
      <c r="X135" s="210">
        <f>19165200+2300000</f>
        <v>21465200</v>
      </c>
      <c r="Y135" s="199">
        <f>SUM(W135:X135)</f>
        <v>21465200</v>
      </c>
      <c r="AA135" s="181"/>
      <c r="AB135" s="192"/>
      <c r="AC135" s="181"/>
      <c r="AD135" s="192">
        <v>38907850.1</v>
      </c>
      <c r="AE135" s="181">
        <f>SUM(AC135:AD135)</f>
        <v>38907850.1</v>
      </c>
      <c r="AG135" s="163"/>
      <c r="AH135" s="174"/>
      <c r="AI135" s="163"/>
      <c r="AJ135" s="174">
        <v>71991466</v>
      </c>
      <c r="AK135" s="163">
        <f>SUM(AI135:AJ135)</f>
        <v>71991466</v>
      </c>
      <c r="AM135" s="107">
        <v>0</v>
      </c>
      <c r="AN135" s="308">
        <v>18894300</v>
      </c>
      <c r="AO135" s="308">
        <f>SUM(AM135:AN135)</f>
        <v>18894300</v>
      </c>
      <c r="AP135" s="107">
        <v>0</v>
      </c>
      <c r="AQ135" s="308">
        <v>20325650</v>
      </c>
      <c r="AR135" s="107">
        <f>SUM(AP135:AQ135)</f>
        <v>20325650</v>
      </c>
      <c r="AT135" s="279" t="e">
        <f>+#REF!+I135+O135+U135+AA135+AG135+AM135</f>
        <v>#REF!</v>
      </c>
      <c r="AU135" s="279" t="e">
        <f>+A135+J135+P135+V135+AB135+AH135+AN135</f>
        <v>#VALUE!</v>
      </c>
      <c r="AV135" s="279">
        <f>+B135+K135+Q135+W135+AC135+AI135+AP135</f>
        <v>0</v>
      </c>
      <c r="AW135" s="279">
        <f>+C135+L135+R135+X135+AD135+AJ135+AQ135</f>
        <v>187039966.1</v>
      </c>
      <c r="AX135" s="279">
        <f>SUM(AV135:AW135)</f>
        <v>187039966.1</v>
      </c>
    </row>
    <row r="136" spans="1:60" s="17" customFormat="1" ht="19.5" thickBot="1">
      <c r="A136" s="17" t="s">
        <v>116</v>
      </c>
      <c r="B136" s="255">
        <f>SUM(B135)</f>
        <v>0</v>
      </c>
      <c r="C136" s="256">
        <f>SUM(C135)</f>
        <v>0</v>
      </c>
      <c r="D136" s="255">
        <f>SUM(D135)</f>
        <v>0</v>
      </c>
      <c r="E136" s="255">
        <f>SUM(E135)</f>
        <v>244180147.59</v>
      </c>
      <c r="F136" s="257">
        <f>SUM(F135)</f>
        <v>0</v>
      </c>
      <c r="G136" s="106"/>
      <c r="H136" s="144"/>
      <c r="I136" s="236">
        <f>SUM(I135)</f>
        <v>0</v>
      </c>
      <c r="J136" s="236">
        <f>SUM(J135)</f>
        <v>0</v>
      </c>
      <c r="K136" s="236">
        <f>SUM(K135)</f>
        <v>0</v>
      </c>
      <c r="L136" s="236">
        <f>SUM(L135)</f>
        <v>34349800</v>
      </c>
      <c r="M136" s="236">
        <f>SUM(M135)</f>
        <v>34349800</v>
      </c>
      <c r="N136" s="91"/>
      <c r="O136" s="218">
        <f>SUM(O135)</f>
        <v>0</v>
      </c>
      <c r="P136" s="218">
        <f>SUM(P135)</f>
        <v>0</v>
      </c>
      <c r="Q136" s="218">
        <f>SUM(Q135)</f>
        <v>0</v>
      </c>
      <c r="R136" s="218">
        <f>SUM(R135)</f>
        <v>0</v>
      </c>
      <c r="S136" s="218">
        <f>SUM(S135)</f>
        <v>0</v>
      </c>
      <c r="T136" s="91"/>
      <c r="U136" s="201">
        <f>SUM(U135)</f>
        <v>0</v>
      </c>
      <c r="V136" s="201">
        <f>SUM(V135)</f>
        <v>0</v>
      </c>
      <c r="W136" s="201">
        <f>SUM(W135)</f>
        <v>0</v>
      </c>
      <c r="X136" s="201">
        <f>SUM(X135)</f>
        <v>21465200</v>
      </c>
      <c r="Y136" s="201">
        <f>SUM(Y135)</f>
        <v>21465200</v>
      </c>
      <c r="Z136" s="91"/>
      <c r="AA136" s="183">
        <f>SUM(AA135)</f>
        <v>0</v>
      </c>
      <c r="AB136" s="183">
        <f>SUM(AB135)</f>
        <v>0</v>
      </c>
      <c r="AC136" s="183">
        <f>SUM(AC135)</f>
        <v>0</v>
      </c>
      <c r="AD136" s="183">
        <f>SUM(AD135)</f>
        <v>38907850.1</v>
      </c>
      <c r="AE136" s="183">
        <f>SUM(AE135)</f>
        <v>38907850.1</v>
      </c>
      <c r="AF136" s="106"/>
      <c r="AG136" s="165">
        <f>SUM(AG135)</f>
        <v>0</v>
      </c>
      <c r="AH136" s="165">
        <f>SUM(AH135)</f>
        <v>0</v>
      </c>
      <c r="AI136" s="165">
        <f>SUM(AI135)</f>
        <v>0</v>
      </c>
      <c r="AJ136" s="165">
        <f>SUM(AJ135)</f>
        <v>71991466</v>
      </c>
      <c r="AK136" s="165">
        <f>SUM(AK135)</f>
        <v>71991466</v>
      </c>
      <c r="AL136" s="91"/>
      <c r="AM136" s="300">
        <f aca="true" t="shared" si="51" ref="AM136:AR136">SUM(AM135)</f>
        <v>0</v>
      </c>
      <c r="AN136" s="300">
        <f t="shared" si="51"/>
        <v>18894300</v>
      </c>
      <c r="AO136" s="300">
        <f t="shared" si="51"/>
        <v>18894300</v>
      </c>
      <c r="AP136" s="300">
        <f t="shared" si="51"/>
        <v>0</v>
      </c>
      <c r="AQ136" s="300">
        <f t="shared" si="51"/>
        <v>20325650</v>
      </c>
      <c r="AR136" s="300">
        <f t="shared" si="51"/>
        <v>20325650</v>
      </c>
      <c r="AS136" s="91"/>
      <c r="AT136" s="281" t="e">
        <f>SUM(AT135)</f>
        <v>#REF!</v>
      </c>
      <c r="AU136" s="281" t="e">
        <f>SUM(AU135)</f>
        <v>#VALUE!</v>
      </c>
      <c r="AV136" s="281">
        <f>SUM(AV135)</f>
        <v>0</v>
      </c>
      <c r="AW136" s="281">
        <f>SUM(AW135)</f>
        <v>187039966.1</v>
      </c>
      <c r="AX136" s="281">
        <f>SUM(AX135)</f>
        <v>187039966.1</v>
      </c>
      <c r="AY136" s="91"/>
      <c r="AZ136" s="144"/>
      <c r="BA136" s="91"/>
      <c r="BB136" s="91"/>
      <c r="BC136" s="91"/>
      <c r="BD136" s="91"/>
      <c r="BE136" s="91"/>
      <c r="BF136" s="91"/>
      <c r="BG136" s="91"/>
      <c r="BH136" s="91"/>
    </row>
    <row r="137" spans="2:60" s="17" customFormat="1" ht="19.5" thickTop="1">
      <c r="B137" s="247"/>
      <c r="C137" s="247"/>
      <c r="D137" s="247"/>
      <c r="E137" s="247"/>
      <c r="F137" s="247"/>
      <c r="G137" s="106"/>
      <c r="H137" s="144"/>
      <c r="I137" s="231"/>
      <c r="J137" s="231"/>
      <c r="K137" s="231"/>
      <c r="L137" s="231"/>
      <c r="M137" s="231"/>
      <c r="N137" s="91"/>
      <c r="O137" s="214"/>
      <c r="P137" s="214"/>
      <c r="Q137" s="214"/>
      <c r="R137" s="214"/>
      <c r="S137" s="214"/>
      <c r="T137" s="91"/>
      <c r="U137" s="197"/>
      <c r="V137" s="197"/>
      <c r="W137" s="197"/>
      <c r="X137" s="197"/>
      <c r="Y137" s="197"/>
      <c r="Z137" s="91"/>
      <c r="AA137" s="179"/>
      <c r="AB137" s="179"/>
      <c r="AC137" s="179"/>
      <c r="AD137" s="179"/>
      <c r="AE137" s="179"/>
      <c r="AF137" s="106"/>
      <c r="AG137" s="161"/>
      <c r="AH137" s="161"/>
      <c r="AI137" s="161"/>
      <c r="AJ137" s="161"/>
      <c r="AK137" s="161"/>
      <c r="AL137" s="91"/>
      <c r="AM137" s="106"/>
      <c r="AN137" s="106"/>
      <c r="AO137" s="106"/>
      <c r="AP137" s="106"/>
      <c r="AQ137" s="106"/>
      <c r="AR137" s="106"/>
      <c r="AS137" s="91"/>
      <c r="AT137" s="277"/>
      <c r="AU137" s="277"/>
      <c r="AV137" s="277"/>
      <c r="AW137" s="277"/>
      <c r="AX137" s="277"/>
      <c r="AY137" s="91"/>
      <c r="AZ137" s="144"/>
      <c r="BA137" s="91"/>
      <c r="BB137" s="91"/>
      <c r="BC137" s="91"/>
      <c r="BD137" s="91"/>
      <c r="BE137" s="91"/>
      <c r="BF137" s="91"/>
      <c r="BG137" s="91"/>
      <c r="BH137" s="91"/>
    </row>
    <row r="138" spans="1:50" ht="18.75">
      <c r="A138" s="51" t="s">
        <v>469</v>
      </c>
      <c r="B138" s="248" t="s">
        <v>56</v>
      </c>
      <c r="C138" s="249" t="s">
        <v>57</v>
      </c>
      <c r="D138" s="248" t="s">
        <v>56</v>
      </c>
      <c r="E138" s="248" t="s">
        <v>57</v>
      </c>
      <c r="F138" s="250"/>
      <c r="G138" s="97"/>
      <c r="I138" s="232" t="s">
        <v>56</v>
      </c>
      <c r="J138" s="232" t="s">
        <v>57</v>
      </c>
      <c r="K138" s="232" t="s">
        <v>56</v>
      </c>
      <c r="L138" s="232" t="s">
        <v>57</v>
      </c>
      <c r="M138" s="232" t="s">
        <v>101</v>
      </c>
      <c r="O138" s="215" t="s">
        <v>56</v>
      </c>
      <c r="P138" s="215" t="s">
        <v>57</v>
      </c>
      <c r="Q138" s="215" t="s">
        <v>56</v>
      </c>
      <c r="R138" s="215" t="s">
        <v>57</v>
      </c>
      <c r="S138" s="215" t="s">
        <v>101</v>
      </c>
      <c r="U138" s="198" t="s">
        <v>56</v>
      </c>
      <c r="V138" s="198" t="s">
        <v>57</v>
      </c>
      <c r="W138" s="198" t="s">
        <v>56</v>
      </c>
      <c r="X138" s="198" t="s">
        <v>57</v>
      </c>
      <c r="Y138" s="198" t="s">
        <v>101</v>
      </c>
      <c r="AA138" s="180" t="s">
        <v>56</v>
      </c>
      <c r="AB138" s="180" t="s">
        <v>57</v>
      </c>
      <c r="AC138" s="180" t="s">
        <v>56</v>
      </c>
      <c r="AD138" s="180" t="s">
        <v>57</v>
      </c>
      <c r="AE138" s="180" t="s">
        <v>101</v>
      </c>
      <c r="AF138" s="97"/>
      <c r="AG138" s="162" t="s">
        <v>56</v>
      </c>
      <c r="AH138" s="162" t="s">
        <v>57</v>
      </c>
      <c r="AI138" s="162" t="s">
        <v>56</v>
      </c>
      <c r="AJ138" s="162" t="s">
        <v>57</v>
      </c>
      <c r="AK138" s="162" t="s">
        <v>101</v>
      </c>
      <c r="AM138" s="18" t="s">
        <v>56</v>
      </c>
      <c r="AN138" s="18" t="s">
        <v>57</v>
      </c>
      <c r="AO138" s="18" t="s">
        <v>101</v>
      </c>
      <c r="AP138" s="18" t="s">
        <v>56</v>
      </c>
      <c r="AQ138" s="18" t="s">
        <v>57</v>
      </c>
      <c r="AR138" s="18" t="s">
        <v>101</v>
      </c>
      <c r="AT138" s="278" t="s">
        <v>56</v>
      </c>
      <c r="AU138" s="278" t="s">
        <v>57</v>
      </c>
      <c r="AV138" s="278" t="s">
        <v>56</v>
      </c>
      <c r="AW138" s="278" t="s">
        <v>57</v>
      </c>
      <c r="AX138" s="278" t="s">
        <v>101</v>
      </c>
    </row>
    <row r="139" spans="1:50" ht="18.75">
      <c r="A139" s="43" t="s">
        <v>233</v>
      </c>
      <c r="B139" s="258"/>
      <c r="C139" s="273"/>
      <c r="D139" s="258">
        <v>0</v>
      </c>
      <c r="E139" s="274">
        <v>571335</v>
      </c>
      <c r="F139" s="247">
        <f aca="true" t="shared" si="52" ref="F139:F144">SUM(B139:C139)</f>
        <v>0</v>
      </c>
      <c r="I139" s="237"/>
      <c r="J139" s="245"/>
      <c r="K139" s="237"/>
      <c r="L139" s="245">
        <v>214425</v>
      </c>
      <c r="M139" s="233">
        <f aca="true" t="shared" si="53" ref="M139:M144">SUM(K139:L139)</f>
        <v>214425</v>
      </c>
      <c r="O139" s="219"/>
      <c r="P139" s="228"/>
      <c r="Q139" s="219"/>
      <c r="R139" s="228"/>
      <c r="S139" s="216">
        <f aca="true" t="shared" si="54" ref="S139:S144">SUM(Q139:R139)</f>
        <v>0</v>
      </c>
      <c r="U139" s="202"/>
      <c r="V139" s="211"/>
      <c r="W139" s="202"/>
      <c r="X139" s="211"/>
      <c r="Y139" s="199">
        <f aca="true" t="shared" si="55" ref="Y139:Y144">SUM(W139:X139)</f>
        <v>0</v>
      </c>
      <c r="AA139" s="184"/>
      <c r="AB139" s="193"/>
      <c r="AC139" s="184"/>
      <c r="AD139" s="193"/>
      <c r="AE139" s="181">
        <f aca="true" t="shared" si="56" ref="AE139:AE144">SUM(AC139:AD139)</f>
        <v>0</v>
      </c>
      <c r="AG139" s="166"/>
      <c r="AH139" s="175"/>
      <c r="AI139" s="166"/>
      <c r="AJ139" s="175">
        <v>481696</v>
      </c>
      <c r="AK139" s="163">
        <f aca="true" t="shared" si="57" ref="AK139:AK144">SUM(AI139:AJ139)</f>
        <v>481696</v>
      </c>
      <c r="AM139" s="299">
        <v>0</v>
      </c>
      <c r="AN139" s="309">
        <v>93336</v>
      </c>
      <c r="AO139" s="309">
        <f aca="true" t="shared" si="58" ref="AO139:AO144">SUM(AM139:AN139)</f>
        <v>93336</v>
      </c>
      <c r="AP139" s="299">
        <v>0</v>
      </c>
      <c r="AQ139" s="309">
        <v>62300</v>
      </c>
      <c r="AR139" s="107">
        <f aca="true" t="shared" si="59" ref="AR139:AR144">SUM(AP139:AQ139)</f>
        <v>62300</v>
      </c>
      <c r="AT139" s="279" t="e">
        <f>+#REF!+I139+O139+U139+AA139+AG139+AM139</f>
        <v>#REF!</v>
      </c>
      <c r="AU139" s="279" t="e">
        <f aca="true" t="shared" si="60" ref="AU139:AU144">+A139+J139+P139+V139+AB139+AH139+AN139</f>
        <v>#VALUE!</v>
      </c>
      <c r="AV139" s="279">
        <f aca="true" t="shared" si="61" ref="AV139:AW144">+B139+K139+Q139+W139+AC139+AI139+AP139</f>
        <v>0</v>
      </c>
      <c r="AW139" s="279">
        <f t="shared" si="61"/>
        <v>758421</v>
      </c>
      <c r="AX139" s="279">
        <f aca="true" t="shared" si="62" ref="AX139:AX144">SUM(AV139:AW139)</f>
        <v>758421</v>
      </c>
    </row>
    <row r="140" spans="1:50" ht="18.75" hidden="1">
      <c r="A140" s="43" t="s">
        <v>234</v>
      </c>
      <c r="B140" s="258"/>
      <c r="C140" s="273"/>
      <c r="D140" s="258">
        <v>0</v>
      </c>
      <c r="E140" s="274"/>
      <c r="F140" s="247">
        <f t="shared" si="52"/>
        <v>0</v>
      </c>
      <c r="I140" s="237"/>
      <c r="J140" s="245"/>
      <c r="K140" s="237"/>
      <c r="L140" s="245"/>
      <c r="M140" s="233">
        <f t="shared" si="53"/>
        <v>0</v>
      </c>
      <c r="O140" s="219"/>
      <c r="P140" s="228"/>
      <c r="Q140" s="219"/>
      <c r="R140" s="228"/>
      <c r="S140" s="216">
        <f t="shared" si="54"/>
        <v>0</v>
      </c>
      <c r="U140" s="202"/>
      <c r="V140" s="211"/>
      <c r="W140" s="202"/>
      <c r="X140" s="211"/>
      <c r="Y140" s="199">
        <f t="shared" si="55"/>
        <v>0</v>
      </c>
      <c r="AA140" s="184"/>
      <c r="AB140" s="193"/>
      <c r="AC140" s="184"/>
      <c r="AD140" s="193"/>
      <c r="AE140" s="181">
        <f t="shared" si="56"/>
        <v>0</v>
      </c>
      <c r="AG140" s="166"/>
      <c r="AH140" s="175"/>
      <c r="AI140" s="166"/>
      <c r="AJ140" s="175">
        <v>16304530</v>
      </c>
      <c r="AK140" s="163">
        <f t="shared" si="57"/>
        <v>16304530</v>
      </c>
      <c r="AM140" s="299">
        <v>0</v>
      </c>
      <c r="AN140" s="309">
        <v>0</v>
      </c>
      <c r="AO140" s="309">
        <f t="shared" si="58"/>
        <v>0</v>
      </c>
      <c r="AP140" s="299">
        <v>0</v>
      </c>
      <c r="AQ140" s="309">
        <v>0</v>
      </c>
      <c r="AR140" s="107">
        <f t="shared" si="59"/>
        <v>0</v>
      </c>
      <c r="AT140" s="279" t="e">
        <f>+#REF!+I140+O140+U140+AA140+AG140+AM140</f>
        <v>#REF!</v>
      </c>
      <c r="AU140" s="279" t="e">
        <f t="shared" si="60"/>
        <v>#VALUE!</v>
      </c>
      <c r="AV140" s="279">
        <f t="shared" si="61"/>
        <v>0</v>
      </c>
      <c r="AW140" s="279">
        <f t="shared" si="61"/>
        <v>16304530</v>
      </c>
      <c r="AX140" s="279">
        <f t="shared" si="62"/>
        <v>16304530</v>
      </c>
    </row>
    <row r="141" spans="1:50" ht="18.75">
      <c r="A141" s="81" t="s">
        <v>236</v>
      </c>
      <c r="B141" s="251"/>
      <c r="C141" s="272"/>
      <c r="D141" s="251">
        <v>0</v>
      </c>
      <c r="E141" s="271">
        <v>47105117.6</v>
      </c>
      <c r="F141" s="247">
        <f t="shared" si="52"/>
        <v>0</v>
      </c>
      <c r="I141" s="233"/>
      <c r="J141" s="244"/>
      <c r="K141" s="233"/>
      <c r="L141" s="244">
        <v>78425.7</v>
      </c>
      <c r="M141" s="233">
        <f t="shared" si="53"/>
        <v>78425.7</v>
      </c>
      <c r="O141" s="216"/>
      <c r="P141" s="227"/>
      <c r="Q141" s="216"/>
      <c r="R141" s="227">
        <v>136875</v>
      </c>
      <c r="S141" s="216">
        <f t="shared" si="54"/>
        <v>136875</v>
      </c>
      <c r="U141" s="199"/>
      <c r="V141" s="210"/>
      <c r="W141" s="199"/>
      <c r="X141" s="210">
        <v>1479573.45</v>
      </c>
      <c r="Y141" s="199">
        <f t="shared" si="55"/>
        <v>1479573.45</v>
      </c>
      <c r="AA141" s="181"/>
      <c r="AB141" s="192"/>
      <c r="AC141" s="181"/>
      <c r="AD141" s="192">
        <v>5578126</v>
      </c>
      <c r="AE141" s="181">
        <f t="shared" si="56"/>
        <v>5578126</v>
      </c>
      <c r="AG141" s="163"/>
      <c r="AH141" s="174"/>
      <c r="AI141" s="163"/>
      <c r="AJ141" s="174"/>
      <c r="AK141" s="163">
        <f t="shared" si="57"/>
        <v>0</v>
      </c>
      <c r="AM141" s="107">
        <v>0</v>
      </c>
      <c r="AN141" s="308">
        <f>2046566-AN143-AN144</f>
        <v>1988930</v>
      </c>
      <c r="AO141" s="309">
        <f t="shared" si="58"/>
        <v>1988930</v>
      </c>
      <c r="AP141" s="107">
        <v>0</v>
      </c>
      <c r="AQ141" s="308">
        <v>2141655</v>
      </c>
      <c r="AR141" s="107">
        <f t="shared" si="59"/>
        <v>2141655</v>
      </c>
      <c r="AT141" s="279" t="e">
        <f>+#REF!+I141+O141+U141+AA141+AG141+AM141</f>
        <v>#REF!</v>
      </c>
      <c r="AU141" s="279" t="e">
        <f t="shared" si="60"/>
        <v>#VALUE!</v>
      </c>
      <c r="AV141" s="279">
        <f t="shared" si="61"/>
        <v>0</v>
      </c>
      <c r="AW141" s="279">
        <f t="shared" si="61"/>
        <v>9414655.15</v>
      </c>
      <c r="AX141" s="279">
        <f t="shared" si="62"/>
        <v>9414655.15</v>
      </c>
    </row>
    <row r="142" spans="1:50" ht="18.75">
      <c r="A142" s="4" t="s">
        <v>235</v>
      </c>
      <c r="B142" s="251"/>
      <c r="C142" s="252"/>
      <c r="D142" s="251">
        <v>0</v>
      </c>
      <c r="E142" s="251">
        <v>3000</v>
      </c>
      <c r="F142" s="247">
        <f t="shared" si="52"/>
        <v>0</v>
      </c>
      <c r="I142" s="233"/>
      <c r="J142" s="233"/>
      <c r="K142" s="233"/>
      <c r="L142" s="233">
        <v>1558274.73</v>
      </c>
      <c r="M142" s="233">
        <f t="shared" si="53"/>
        <v>1558274.73</v>
      </c>
      <c r="O142" s="216"/>
      <c r="P142" s="216"/>
      <c r="Q142" s="216"/>
      <c r="R142" s="216">
        <v>367947</v>
      </c>
      <c r="S142" s="216">
        <f t="shared" si="54"/>
        <v>367947</v>
      </c>
      <c r="U142" s="199"/>
      <c r="V142" s="199"/>
      <c r="W142" s="199"/>
      <c r="X142" s="199">
        <v>2219048</v>
      </c>
      <c r="Y142" s="199">
        <f t="shared" si="55"/>
        <v>2219048</v>
      </c>
      <c r="AA142" s="181"/>
      <c r="AB142" s="181"/>
      <c r="AC142" s="181"/>
      <c r="AD142" s="181"/>
      <c r="AE142" s="181">
        <f t="shared" si="56"/>
        <v>0</v>
      </c>
      <c r="AG142" s="163"/>
      <c r="AH142" s="163"/>
      <c r="AI142" s="163"/>
      <c r="AJ142" s="163"/>
      <c r="AK142" s="163">
        <f t="shared" si="57"/>
        <v>0</v>
      </c>
      <c r="AM142" s="107">
        <v>0</v>
      </c>
      <c r="AN142" s="107">
        <v>1847309</v>
      </c>
      <c r="AO142" s="308">
        <f t="shared" si="58"/>
        <v>1847309</v>
      </c>
      <c r="AP142" s="107">
        <v>0</v>
      </c>
      <c r="AQ142" s="107">
        <v>2700463</v>
      </c>
      <c r="AR142" s="107">
        <f t="shared" si="59"/>
        <v>2700463</v>
      </c>
      <c r="AT142" s="279" t="e">
        <f>+#REF!+I142+O142+U142+AA142+AG142+AM142</f>
        <v>#REF!</v>
      </c>
      <c r="AU142" s="279" t="e">
        <f t="shared" si="60"/>
        <v>#VALUE!</v>
      </c>
      <c r="AV142" s="279">
        <f t="shared" si="61"/>
        <v>0</v>
      </c>
      <c r="AW142" s="279">
        <f t="shared" si="61"/>
        <v>6845732.73</v>
      </c>
      <c r="AX142" s="279">
        <f>SUM(AV142:AW142)</f>
        <v>6845732.73</v>
      </c>
    </row>
    <row r="143" spans="1:50" ht="18.75">
      <c r="A143" s="63" t="s">
        <v>117</v>
      </c>
      <c r="B143" s="251"/>
      <c r="C143" s="272"/>
      <c r="D143" s="251">
        <v>0</v>
      </c>
      <c r="E143" s="271">
        <v>6939958</v>
      </c>
      <c r="F143" s="247">
        <f t="shared" si="52"/>
        <v>0</v>
      </c>
      <c r="I143" s="233"/>
      <c r="J143" s="244"/>
      <c r="K143" s="233"/>
      <c r="L143" s="244"/>
      <c r="M143" s="233">
        <f t="shared" si="53"/>
        <v>0</v>
      </c>
      <c r="O143" s="216"/>
      <c r="P143" s="227"/>
      <c r="Q143" s="216"/>
      <c r="R143" s="227"/>
      <c r="S143" s="216">
        <f t="shared" si="54"/>
        <v>0</v>
      </c>
      <c r="U143" s="199"/>
      <c r="V143" s="210"/>
      <c r="W143" s="199"/>
      <c r="X143" s="210"/>
      <c r="Y143" s="199">
        <f t="shared" si="55"/>
        <v>0</v>
      </c>
      <c r="AA143" s="181"/>
      <c r="AB143" s="192"/>
      <c r="AC143" s="181"/>
      <c r="AD143" s="192"/>
      <c r="AE143" s="181">
        <f t="shared" si="56"/>
        <v>0</v>
      </c>
      <c r="AG143" s="163"/>
      <c r="AH143" s="174"/>
      <c r="AI143" s="163"/>
      <c r="AJ143" s="174"/>
      <c r="AK143" s="163">
        <f t="shared" si="57"/>
        <v>0</v>
      </c>
      <c r="AM143" s="107">
        <v>0</v>
      </c>
      <c r="AN143" s="308">
        <v>31836</v>
      </c>
      <c r="AO143" s="309">
        <f t="shared" si="58"/>
        <v>31836</v>
      </c>
      <c r="AP143" s="107">
        <v>0</v>
      </c>
      <c r="AQ143" s="308">
        <v>0</v>
      </c>
      <c r="AR143" s="107">
        <f t="shared" si="59"/>
        <v>0</v>
      </c>
      <c r="AT143" s="279" t="e">
        <f>+#REF!+I143+O143+U143+AA143+AG143+AM143</f>
        <v>#REF!</v>
      </c>
      <c r="AU143" s="279" t="e">
        <f t="shared" si="60"/>
        <v>#VALUE!</v>
      </c>
      <c r="AV143" s="279">
        <f t="shared" si="61"/>
        <v>0</v>
      </c>
      <c r="AW143" s="279">
        <f t="shared" si="61"/>
        <v>0</v>
      </c>
      <c r="AX143" s="279">
        <f t="shared" si="62"/>
        <v>0</v>
      </c>
    </row>
    <row r="144" spans="1:50" ht="18.75">
      <c r="A144" s="63" t="s">
        <v>416</v>
      </c>
      <c r="B144" s="251"/>
      <c r="C144" s="272"/>
      <c r="D144" s="251">
        <v>0</v>
      </c>
      <c r="E144" s="271">
        <f>854600+20000</f>
        <v>874600</v>
      </c>
      <c r="F144" s="247">
        <f t="shared" si="52"/>
        <v>0</v>
      </c>
      <c r="I144" s="233"/>
      <c r="J144" s="244"/>
      <c r="K144" s="233"/>
      <c r="L144" s="244"/>
      <c r="M144" s="233">
        <f t="shared" si="53"/>
        <v>0</v>
      </c>
      <c r="O144" s="216"/>
      <c r="P144" s="227"/>
      <c r="Q144" s="216"/>
      <c r="R144" s="227"/>
      <c r="S144" s="216">
        <f t="shared" si="54"/>
        <v>0</v>
      </c>
      <c r="U144" s="199"/>
      <c r="V144" s="210"/>
      <c r="W144" s="199"/>
      <c r="X144" s="210"/>
      <c r="Y144" s="199">
        <f t="shared" si="55"/>
        <v>0</v>
      </c>
      <c r="AA144" s="181"/>
      <c r="AB144" s="192"/>
      <c r="AC144" s="181"/>
      <c r="AD144" s="192"/>
      <c r="AE144" s="181">
        <f t="shared" si="56"/>
        <v>0</v>
      </c>
      <c r="AG144" s="163"/>
      <c r="AH144" s="174"/>
      <c r="AI144" s="163"/>
      <c r="AJ144" s="174"/>
      <c r="AK144" s="163">
        <f t="shared" si="57"/>
        <v>0</v>
      </c>
      <c r="AM144" s="107">
        <v>0</v>
      </c>
      <c r="AN144" s="308">
        <v>25800</v>
      </c>
      <c r="AO144" s="309">
        <f t="shared" si="58"/>
        <v>25800</v>
      </c>
      <c r="AP144" s="107">
        <v>0</v>
      </c>
      <c r="AQ144" s="308">
        <v>0</v>
      </c>
      <c r="AR144" s="107">
        <f t="shared" si="59"/>
        <v>0</v>
      </c>
      <c r="AT144" s="279" t="e">
        <f>+#REF!+I144+O144+U144+AA144+AG144+AM144</f>
        <v>#REF!</v>
      </c>
      <c r="AU144" s="279" t="e">
        <f t="shared" si="60"/>
        <v>#VALUE!</v>
      </c>
      <c r="AV144" s="279">
        <f t="shared" si="61"/>
        <v>0</v>
      </c>
      <c r="AW144" s="279">
        <f t="shared" si="61"/>
        <v>0</v>
      </c>
      <c r="AX144" s="279">
        <f t="shared" si="62"/>
        <v>0</v>
      </c>
    </row>
    <row r="145" spans="1:60" s="17" customFormat="1" ht="19.5" thickBot="1">
      <c r="A145" s="17" t="s">
        <v>118</v>
      </c>
      <c r="B145" s="255">
        <f>SUM(B139:B144)</f>
        <v>0</v>
      </c>
      <c r="C145" s="256">
        <f>SUM(C139:C144)</f>
        <v>0</v>
      </c>
      <c r="D145" s="255">
        <f>SUM(D139:D144)</f>
        <v>0</v>
      </c>
      <c r="E145" s="255">
        <f>SUM(E139:E144)</f>
        <v>55494010.6</v>
      </c>
      <c r="F145" s="257">
        <f>SUM(F139:F144)</f>
        <v>0</v>
      </c>
      <c r="G145" s="106"/>
      <c r="H145" s="144"/>
      <c r="I145" s="236">
        <f>SUM(I139:I144)</f>
        <v>0</v>
      </c>
      <c r="J145" s="236">
        <f>SUM(J139:J144)</f>
        <v>0</v>
      </c>
      <c r="K145" s="236">
        <f>SUM(K139:K144)</f>
        <v>0</v>
      </c>
      <c r="L145" s="236">
        <f>SUM(L139:L144)</f>
        <v>1851125.43</v>
      </c>
      <c r="M145" s="236">
        <f>SUM(M139:M144)</f>
        <v>1851125.43</v>
      </c>
      <c r="N145" s="91"/>
      <c r="O145" s="218">
        <f>SUM(O139:O144)</f>
        <v>0</v>
      </c>
      <c r="P145" s="218">
        <f>SUM(P139:P144)</f>
        <v>0</v>
      </c>
      <c r="Q145" s="218">
        <f>SUM(Q139:Q144)</f>
        <v>0</v>
      </c>
      <c r="R145" s="218">
        <f>SUM(R139:R144)</f>
        <v>504822</v>
      </c>
      <c r="S145" s="218">
        <f>SUM(S139:S144)</f>
        <v>504822</v>
      </c>
      <c r="T145" s="91"/>
      <c r="U145" s="201">
        <f>SUM(U139:U144)</f>
        <v>0</v>
      </c>
      <c r="V145" s="201">
        <f>SUM(V139:V144)</f>
        <v>0</v>
      </c>
      <c r="W145" s="201">
        <f>SUM(W139:W144)</f>
        <v>0</v>
      </c>
      <c r="X145" s="201">
        <f>SUM(X139:X144)</f>
        <v>3698621.45</v>
      </c>
      <c r="Y145" s="201">
        <f>SUM(Y139:Y144)</f>
        <v>3698621.45</v>
      </c>
      <c r="Z145" s="91"/>
      <c r="AA145" s="183">
        <f>SUM(AA139:AA144)</f>
        <v>0</v>
      </c>
      <c r="AB145" s="183">
        <f>SUM(AB139:AB144)</f>
        <v>0</v>
      </c>
      <c r="AC145" s="183">
        <f>SUM(AC139:AC144)</f>
        <v>0</v>
      </c>
      <c r="AD145" s="183">
        <f>SUM(AD139:AD144)</f>
        <v>5578126</v>
      </c>
      <c r="AE145" s="183">
        <f>SUM(AE139:AE144)</f>
        <v>5578126</v>
      </c>
      <c r="AF145" s="106"/>
      <c r="AG145" s="165">
        <f>SUM(AG139:AG144)</f>
        <v>0</v>
      </c>
      <c r="AH145" s="165">
        <f>SUM(AH139:AH144)</f>
        <v>0</v>
      </c>
      <c r="AI145" s="165">
        <f>SUM(AI139:AI144)</f>
        <v>0</v>
      </c>
      <c r="AJ145" s="165">
        <f>SUM(AJ139:AJ144)</f>
        <v>16786226</v>
      </c>
      <c r="AK145" s="165">
        <f>SUM(AK139:AK144)</f>
        <v>16786226</v>
      </c>
      <c r="AL145" s="91"/>
      <c r="AM145" s="300">
        <f aca="true" t="shared" si="63" ref="AM145:AR145">SUM(AM139:AM144)</f>
        <v>0</v>
      </c>
      <c r="AN145" s="300">
        <f t="shared" si="63"/>
        <v>3987211</v>
      </c>
      <c r="AO145" s="300">
        <f t="shared" si="63"/>
        <v>3987211</v>
      </c>
      <c r="AP145" s="300">
        <f t="shared" si="63"/>
        <v>0</v>
      </c>
      <c r="AQ145" s="300">
        <f t="shared" si="63"/>
        <v>4904418</v>
      </c>
      <c r="AR145" s="300">
        <f t="shared" si="63"/>
        <v>4904418</v>
      </c>
      <c r="AS145" s="91"/>
      <c r="AT145" s="281" t="e">
        <f>SUM(AT139:AT144)</f>
        <v>#REF!</v>
      </c>
      <c r="AU145" s="281" t="e">
        <f>SUM(AU139:AU144)</f>
        <v>#VALUE!</v>
      </c>
      <c r="AV145" s="281">
        <f>SUM(AV139:AV144)</f>
        <v>0</v>
      </c>
      <c r="AW145" s="281">
        <f>SUM(AW139:AW144)</f>
        <v>33323338.88</v>
      </c>
      <c r="AX145" s="281">
        <f>SUM(AX139:AX144)</f>
        <v>33323338.88</v>
      </c>
      <c r="AY145" s="91"/>
      <c r="AZ145" s="144"/>
      <c r="BA145" s="91"/>
      <c r="BB145" s="91"/>
      <c r="BC145" s="91"/>
      <c r="BD145" s="91"/>
      <c r="BE145" s="91"/>
      <c r="BF145" s="91"/>
      <c r="BG145" s="91"/>
      <c r="BH145" s="91"/>
    </row>
    <row r="146" spans="2:60" s="17" customFormat="1" ht="19.5" thickTop="1">
      <c r="B146" s="247"/>
      <c r="C146" s="247"/>
      <c r="D146" s="247"/>
      <c r="E146" s="247"/>
      <c r="F146" s="247"/>
      <c r="G146" s="106"/>
      <c r="H146" s="144"/>
      <c r="I146" s="231"/>
      <c r="J146" s="231"/>
      <c r="K146" s="231"/>
      <c r="L146" s="231"/>
      <c r="M146" s="231"/>
      <c r="N146" s="91"/>
      <c r="O146" s="214"/>
      <c r="P146" s="214"/>
      <c r="Q146" s="214"/>
      <c r="R146" s="214"/>
      <c r="S146" s="214"/>
      <c r="T146" s="91"/>
      <c r="U146" s="197"/>
      <c r="V146" s="197"/>
      <c r="W146" s="197"/>
      <c r="X146" s="197"/>
      <c r="Y146" s="197"/>
      <c r="Z146" s="91"/>
      <c r="AA146" s="179"/>
      <c r="AB146" s="179"/>
      <c r="AC146" s="179"/>
      <c r="AD146" s="179"/>
      <c r="AE146" s="179"/>
      <c r="AF146" s="106"/>
      <c r="AG146" s="161"/>
      <c r="AH146" s="161"/>
      <c r="AI146" s="161"/>
      <c r="AJ146" s="161"/>
      <c r="AK146" s="161"/>
      <c r="AL146" s="91"/>
      <c r="AM146" s="106"/>
      <c r="AN146" s="106"/>
      <c r="AO146" s="106"/>
      <c r="AP146" s="106"/>
      <c r="AQ146" s="106"/>
      <c r="AR146" s="106"/>
      <c r="AS146" s="91"/>
      <c r="AT146" s="277"/>
      <c r="AU146" s="277"/>
      <c r="AV146" s="277"/>
      <c r="AW146" s="277"/>
      <c r="AX146" s="277"/>
      <c r="AY146" s="91"/>
      <c r="AZ146" s="144"/>
      <c r="BA146" s="91"/>
      <c r="BB146" s="91"/>
      <c r="BC146" s="91"/>
      <c r="BD146" s="91"/>
      <c r="BE146" s="91"/>
      <c r="BF146" s="91"/>
      <c r="BG146" s="91"/>
      <c r="BH146" s="91"/>
    </row>
    <row r="147" spans="1:50" ht="18.75">
      <c r="A147" s="51" t="s">
        <v>470</v>
      </c>
      <c r="B147" s="248" t="s">
        <v>56</v>
      </c>
      <c r="C147" s="249" t="s">
        <v>57</v>
      </c>
      <c r="D147" s="248" t="s">
        <v>56</v>
      </c>
      <c r="E147" s="248" t="s">
        <v>57</v>
      </c>
      <c r="F147" s="250"/>
      <c r="G147" s="97"/>
      <c r="I147" s="232" t="s">
        <v>56</v>
      </c>
      <c r="J147" s="232" t="s">
        <v>57</v>
      </c>
      <c r="K147" s="232" t="s">
        <v>56</v>
      </c>
      <c r="L147" s="232" t="s">
        <v>57</v>
      </c>
      <c r="M147" s="232" t="s">
        <v>101</v>
      </c>
      <c r="O147" s="215" t="s">
        <v>56</v>
      </c>
      <c r="P147" s="215" t="s">
        <v>57</v>
      </c>
      <c r="Q147" s="215" t="s">
        <v>56</v>
      </c>
      <c r="R147" s="215" t="s">
        <v>57</v>
      </c>
      <c r="S147" s="215" t="s">
        <v>101</v>
      </c>
      <c r="U147" s="198" t="s">
        <v>56</v>
      </c>
      <c r="V147" s="198" t="s">
        <v>57</v>
      </c>
      <c r="W147" s="198" t="s">
        <v>56</v>
      </c>
      <c r="X147" s="198" t="s">
        <v>57</v>
      </c>
      <c r="Y147" s="198" t="s">
        <v>101</v>
      </c>
      <c r="AA147" s="180" t="s">
        <v>56</v>
      </c>
      <c r="AB147" s="180" t="s">
        <v>57</v>
      </c>
      <c r="AC147" s="180" t="s">
        <v>56</v>
      </c>
      <c r="AD147" s="180" t="s">
        <v>57</v>
      </c>
      <c r="AE147" s="180" t="s">
        <v>101</v>
      </c>
      <c r="AF147" s="97"/>
      <c r="AG147" s="162" t="s">
        <v>56</v>
      </c>
      <c r="AH147" s="162" t="s">
        <v>57</v>
      </c>
      <c r="AI147" s="162" t="s">
        <v>56</v>
      </c>
      <c r="AJ147" s="162" t="s">
        <v>57</v>
      </c>
      <c r="AK147" s="162" t="s">
        <v>101</v>
      </c>
      <c r="AM147" s="18" t="s">
        <v>56</v>
      </c>
      <c r="AN147" s="18" t="s">
        <v>57</v>
      </c>
      <c r="AO147" s="18" t="s">
        <v>101</v>
      </c>
      <c r="AP147" s="18" t="s">
        <v>56</v>
      </c>
      <c r="AQ147" s="18" t="s">
        <v>57</v>
      </c>
      <c r="AR147" s="18" t="s">
        <v>101</v>
      </c>
      <c r="AT147" s="278" t="s">
        <v>56</v>
      </c>
      <c r="AU147" s="278" t="s">
        <v>57</v>
      </c>
      <c r="AV147" s="278" t="s">
        <v>56</v>
      </c>
      <c r="AW147" s="278" t="s">
        <v>57</v>
      </c>
      <c r="AX147" s="278" t="s">
        <v>101</v>
      </c>
    </row>
    <row r="148" spans="1:50" ht="18.75">
      <c r="A148" s="43" t="s">
        <v>237</v>
      </c>
      <c r="B148" s="251"/>
      <c r="C148" s="252"/>
      <c r="D148" s="251">
        <v>0</v>
      </c>
      <c r="E148" s="251">
        <f>23015676.84-4469407.77</f>
        <v>18546269.07</v>
      </c>
      <c r="F148" s="247">
        <f>SUM(B148:C148)</f>
        <v>0</v>
      </c>
      <c r="I148" s="233"/>
      <c r="J148" s="233"/>
      <c r="K148" s="233"/>
      <c r="L148" s="233">
        <v>70982.8</v>
      </c>
      <c r="M148" s="233">
        <f>SUM(K148:L148)</f>
        <v>70982.8</v>
      </c>
      <c r="O148" s="216"/>
      <c r="P148" s="216"/>
      <c r="Q148" s="216"/>
      <c r="R148" s="216">
        <v>8309.9</v>
      </c>
      <c r="S148" s="216">
        <f>SUM(Q148:R148)</f>
        <v>8309.9</v>
      </c>
      <c r="U148" s="199"/>
      <c r="V148" s="199"/>
      <c r="W148" s="199"/>
      <c r="X148" s="199">
        <v>42858.23</v>
      </c>
      <c r="Y148" s="199">
        <f>SUM(W148:X148)</f>
        <v>42858.23</v>
      </c>
      <c r="AA148" s="181"/>
      <c r="AB148" s="181"/>
      <c r="AC148" s="181"/>
      <c r="AD148" s="181">
        <f>88711.79+2554.9</f>
        <v>91266.68999999999</v>
      </c>
      <c r="AE148" s="181">
        <f>SUM(AC148:AD148)</f>
        <v>91266.68999999999</v>
      </c>
      <c r="AG148" s="163"/>
      <c r="AH148" s="163"/>
      <c r="AI148" s="163"/>
      <c r="AJ148" s="163">
        <v>227177.43</v>
      </c>
      <c r="AK148" s="163">
        <f>SUM(AI148:AJ148)</f>
        <v>227177.43</v>
      </c>
      <c r="AM148" s="107">
        <v>0</v>
      </c>
      <c r="AN148" s="107">
        <v>11920.75</v>
      </c>
      <c r="AO148" s="107">
        <f>SUM(AM148:AN148)</f>
        <v>11920.75</v>
      </c>
      <c r="AP148" s="107">
        <v>0</v>
      </c>
      <c r="AQ148" s="107">
        <v>40008.43</v>
      </c>
      <c r="AR148" s="107">
        <f>SUM(AP148:AQ148)</f>
        <v>40008.43</v>
      </c>
      <c r="AT148" s="279" t="e">
        <f>+#REF!+I148+O148+U148+AA148+AG148+AM148</f>
        <v>#REF!</v>
      </c>
      <c r="AU148" s="279" t="e">
        <f>+A148+J148+P148+V148+AB148+AH148+AN148</f>
        <v>#VALUE!</v>
      </c>
      <c r="AV148" s="279">
        <f>+B148+K148+Q148+W148+AC148+AI148+AP148</f>
        <v>0</v>
      </c>
      <c r="AW148" s="279">
        <f>+C148+L148+R148+X148+AD148+AJ148+AQ148</f>
        <v>480603.48</v>
      </c>
      <c r="AX148" s="279">
        <f>SUM(AV148:AW148)</f>
        <v>480603.48</v>
      </c>
    </row>
    <row r="149" spans="1:50" ht="18.75">
      <c r="A149" s="43" t="s">
        <v>455</v>
      </c>
      <c r="B149" s="258"/>
      <c r="C149" s="259"/>
      <c r="D149" s="258"/>
      <c r="E149" s="258">
        <v>4469407.77</v>
      </c>
      <c r="F149" s="247">
        <f>SUM(B149:C149)</f>
        <v>0</v>
      </c>
      <c r="I149" s="237"/>
      <c r="J149" s="237"/>
      <c r="K149" s="237"/>
      <c r="L149" s="237"/>
      <c r="M149" s="237"/>
      <c r="O149" s="219"/>
      <c r="P149" s="219"/>
      <c r="Q149" s="219"/>
      <c r="R149" s="219"/>
      <c r="S149" s="219"/>
      <c r="U149" s="202"/>
      <c r="V149" s="202"/>
      <c r="W149" s="202"/>
      <c r="X149" s="202"/>
      <c r="Y149" s="202"/>
      <c r="AA149" s="184"/>
      <c r="AB149" s="184"/>
      <c r="AC149" s="184"/>
      <c r="AD149" s="184"/>
      <c r="AE149" s="184"/>
      <c r="AG149" s="166"/>
      <c r="AH149" s="166"/>
      <c r="AI149" s="166"/>
      <c r="AJ149" s="166"/>
      <c r="AK149" s="166"/>
      <c r="AM149" s="299">
        <v>0</v>
      </c>
      <c r="AN149" s="299">
        <v>0</v>
      </c>
      <c r="AO149" s="107">
        <f>SUM(AM149:AN149)</f>
        <v>0</v>
      </c>
      <c r="AP149" s="299">
        <v>0</v>
      </c>
      <c r="AQ149" s="299">
        <v>0</v>
      </c>
      <c r="AR149" s="107">
        <f>SUM(AP149:AQ149)</f>
        <v>0</v>
      </c>
      <c r="AT149" s="280"/>
      <c r="AU149" s="280"/>
      <c r="AV149" s="280"/>
      <c r="AW149" s="280"/>
      <c r="AX149" s="280"/>
    </row>
    <row r="150" spans="1:60" s="17" customFormat="1" ht="19.5" thickBot="1">
      <c r="A150" s="17" t="s">
        <v>119</v>
      </c>
      <c r="B150" s="255">
        <f>SUM(B148)</f>
        <v>0</v>
      </c>
      <c r="C150" s="256">
        <f>SUM(C148:C149)</f>
        <v>0</v>
      </c>
      <c r="D150" s="255">
        <f>SUM(D148)</f>
        <v>0</v>
      </c>
      <c r="E150" s="255">
        <f>SUM(E148:E149)</f>
        <v>23015676.84</v>
      </c>
      <c r="F150" s="257">
        <f>SUM(F148:F149)</f>
        <v>0</v>
      </c>
      <c r="G150" s="106"/>
      <c r="H150" s="144"/>
      <c r="I150" s="236">
        <f>SUM(I148)</f>
        <v>0</v>
      </c>
      <c r="J150" s="236">
        <f>SUM(J148)</f>
        <v>0</v>
      </c>
      <c r="K150" s="236">
        <f>SUM(K148)</f>
        <v>0</v>
      </c>
      <c r="L150" s="236">
        <f>SUM(L148)</f>
        <v>70982.8</v>
      </c>
      <c r="M150" s="236">
        <f>SUM(M148)</f>
        <v>70982.8</v>
      </c>
      <c r="N150" s="91"/>
      <c r="O150" s="218">
        <f>SUM(O148)</f>
        <v>0</v>
      </c>
      <c r="P150" s="218">
        <f>SUM(P148)</f>
        <v>0</v>
      </c>
      <c r="Q150" s="218">
        <f>SUM(Q148)</f>
        <v>0</v>
      </c>
      <c r="R150" s="218">
        <f>SUM(R148)</f>
        <v>8309.9</v>
      </c>
      <c r="S150" s="218">
        <f>SUM(S148)</f>
        <v>8309.9</v>
      </c>
      <c r="T150" s="91"/>
      <c r="U150" s="201">
        <f>SUM(U148)</f>
        <v>0</v>
      </c>
      <c r="V150" s="201">
        <f>SUM(V148)</f>
        <v>0</v>
      </c>
      <c r="W150" s="201">
        <f>SUM(W148)</f>
        <v>0</v>
      </c>
      <c r="X150" s="201">
        <f>SUM(X148)</f>
        <v>42858.23</v>
      </c>
      <c r="Y150" s="201">
        <f>SUM(Y148)</f>
        <v>42858.23</v>
      </c>
      <c r="Z150" s="91"/>
      <c r="AA150" s="183">
        <f>SUM(AA148)</f>
        <v>0</v>
      </c>
      <c r="AB150" s="183">
        <f>SUM(AB148)</f>
        <v>0</v>
      </c>
      <c r="AC150" s="183">
        <f>SUM(AC148)</f>
        <v>0</v>
      </c>
      <c r="AD150" s="183">
        <f>SUM(AD148)</f>
        <v>91266.68999999999</v>
      </c>
      <c r="AE150" s="183">
        <f>SUM(AE148)</f>
        <v>91266.68999999999</v>
      </c>
      <c r="AF150" s="106"/>
      <c r="AG150" s="165">
        <f>SUM(AG148)</f>
        <v>0</v>
      </c>
      <c r="AH150" s="165">
        <f>SUM(AH148)</f>
        <v>0</v>
      </c>
      <c r="AI150" s="165">
        <f>SUM(AI148)</f>
        <v>0</v>
      </c>
      <c r="AJ150" s="165">
        <f>SUM(AJ148)</f>
        <v>227177.43</v>
      </c>
      <c r="AK150" s="165">
        <f>SUM(AK148)</f>
        <v>227177.43</v>
      </c>
      <c r="AL150" s="91"/>
      <c r="AM150" s="300">
        <f aca="true" t="shared" si="64" ref="AM150:AR150">SUM(AM148)</f>
        <v>0</v>
      </c>
      <c r="AN150" s="300">
        <f t="shared" si="64"/>
        <v>11920.75</v>
      </c>
      <c r="AO150" s="300">
        <f t="shared" si="64"/>
        <v>11920.75</v>
      </c>
      <c r="AP150" s="300">
        <f t="shared" si="64"/>
        <v>0</v>
      </c>
      <c r="AQ150" s="300">
        <f t="shared" si="64"/>
        <v>40008.43</v>
      </c>
      <c r="AR150" s="300">
        <f t="shared" si="64"/>
        <v>40008.43</v>
      </c>
      <c r="AS150" s="91"/>
      <c r="AT150" s="281" t="e">
        <f>SUM(AT148)</f>
        <v>#REF!</v>
      </c>
      <c r="AU150" s="281" t="e">
        <f>SUM(AU148)</f>
        <v>#VALUE!</v>
      </c>
      <c r="AV150" s="281">
        <f>SUM(AV148)</f>
        <v>0</v>
      </c>
      <c r="AW150" s="281">
        <f>SUM(AW148)</f>
        <v>480603.48</v>
      </c>
      <c r="AX150" s="281">
        <f>SUM(AX148)</f>
        <v>480603.48</v>
      </c>
      <c r="AY150" s="91"/>
      <c r="AZ150" s="144"/>
      <c r="BA150" s="91"/>
      <c r="BB150" s="91"/>
      <c r="BC150" s="91"/>
      <c r="BD150" s="91"/>
      <c r="BE150" s="91"/>
      <c r="BF150" s="91"/>
      <c r="BG150" s="91"/>
      <c r="BH150" s="91"/>
    </row>
    <row r="151" spans="2:60" s="17" customFormat="1" ht="19.5" thickTop="1">
      <c r="B151" s="247"/>
      <c r="C151" s="247"/>
      <c r="D151" s="247"/>
      <c r="E151" s="247"/>
      <c r="F151" s="247"/>
      <c r="G151" s="106"/>
      <c r="H151" s="144"/>
      <c r="I151" s="231"/>
      <c r="J151" s="231"/>
      <c r="K151" s="231"/>
      <c r="L151" s="231"/>
      <c r="M151" s="231"/>
      <c r="N151" s="91"/>
      <c r="O151" s="214"/>
      <c r="P151" s="214"/>
      <c r="Q151" s="214"/>
      <c r="R151" s="214"/>
      <c r="S151" s="214"/>
      <c r="T151" s="91"/>
      <c r="U151" s="197"/>
      <c r="V151" s="197"/>
      <c r="W151" s="197"/>
      <c r="X151" s="197"/>
      <c r="Y151" s="197"/>
      <c r="Z151" s="91"/>
      <c r="AA151" s="179"/>
      <c r="AB151" s="179"/>
      <c r="AC151" s="179"/>
      <c r="AD151" s="179"/>
      <c r="AE151" s="179"/>
      <c r="AF151" s="106"/>
      <c r="AG151" s="161"/>
      <c r="AH151" s="161"/>
      <c r="AI151" s="161"/>
      <c r="AJ151" s="161"/>
      <c r="AK151" s="161"/>
      <c r="AL151" s="91"/>
      <c r="AM151" s="106"/>
      <c r="AN151" s="106"/>
      <c r="AO151" s="106"/>
      <c r="AP151" s="106"/>
      <c r="AQ151" s="106"/>
      <c r="AR151" s="106"/>
      <c r="AS151" s="91"/>
      <c r="AT151" s="277"/>
      <c r="AU151" s="277"/>
      <c r="AV151" s="277"/>
      <c r="AW151" s="277"/>
      <c r="AX151" s="277"/>
      <c r="AY151" s="91"/>
      <c r="AZ151" s="144"/>
      <c r="BA151" s="91"/>
      <c r="BB151" s="91"/>
      <c r="BC151" s="91"/>
      <c r="BD151" s="91"/>
      <c r="BE151" s="91"/>
      <c r="BF151" s="91"/>
      <c r="BG151" s="91"/>
      <c r="BH151" s="91"/>
    </row>
    <row r="152" spans="1:50" ht="18.75">
      <c r="A152" s="51" t="s">
        <v>471</v>
      </c>
      <c r="B152" s="248" t="s">
        <v>56</v>
      </c>
      <c r="C152" s="249" t="s">
        <v>57</v>
      </c>
      <c r="D152" s="248" t="s">
        <v>56</v>
      </c>
      <c r="E152" s="248" t="s">
        <v>57</v>
      </c>
      <c r="F152" s="250"/>
      <c r="G152" s="97"/>
      <c r="I152" s="232" t="s">
        <v>56</v>
      </c>
      <c r="J152" s="232" t="s">
        <v>57</v>
      </c>
      <c r="K152" s="232" t="s">
        <v>56</v>
      </c>
      <c r="L152" s="232" t="s">
        <v>57</v>
      </c>
      <c r="M152" s="232" t="s">
        <v>101</v>
      </c>
      <c r="O152" s="215" t="s">
        <v>56</v>
      </c>
      <c r="P152" s="215" t="s">
        <v>57</v>
      </c>
      <c r="Q152" s="215" t="s">
        <v>56</v>
      </c>
      <c r="R152" s="215" t="s">
        <v>57</v>
      </c>
      <c r="S152" s="215" t="s">
        <v>101</v>
      </c>
      <c r="U152" s="198" t="s">
        <v>56</v>
      </c>
      <c r="V152" s="198" t="s">
        <v>57</v>
      </c>
      <c r="W152" s="198" t="s">
        <v>56</v>
      </c>
      <c r="X152" s="198" t="s">
        <v>57</v>
      </c>
      <c r="Y152" s="198" t="s">
        <v>101</v>
      </c>
      <c r="AA152" s="180" t="s">
        <v>56</v>
      </c>
      <c r="AB152" s="180" t="s">
        <v>57</v>
      </c>
      <c r="AC152" s="180" t="s">
        <v>56</v>
      </c>
      <c r="AD152" s="180" t="s">
        <v>57</v>
      </c>
      <c r="AE152" s="180" t="s">
        <v>101</v>
      </c>
      <c r="AF152" s="97"/>
      <c r="AG152" s="162" t="s">
        <v>56</v>
      </c>
      <c r="AH152" s="162" t="s">
        <v>57</v>
      </c>
      <c r="AI152" s="162" t="s">
        <v>56</v>
      </c>
      <c r="AJ152" s="162" t="s">
        <v>57</v>
      </c>
      <c r="AK152" s="162" t="s">
        <v>101</v>
      </c>
      <c r="AM152" s="18" t="s">
        <v>56</v>
      </c>
      <c r="AN152" s="18" t="s">
        <v>57</v>
      </c>
      <c r="AO152" s="18" t="s">
        <v>101</v>
      </c>
      <c r="AP152" s="18" t="s">
        <v>56</v>
      </c>
      <c r="AQ152" s="18" t="s">
        <v>57</v>
      </c>
      <c r="AR152" s="18" t="s">
        <v>101</v>
      </c>
      <c r="AT152" s="278" t="s">
        <v>56</v>
      </c>
      <c r="AU152" s="278" t="s">
        <v>57</v>
      </c>
      <c r="AV152" s="278" t="s">
        <v>56</v>
      </c>
      <c r="AW152" s="278" t="s">
        <v>57</v>
      </c>
      <c r="AX152" s="278" t="s">
        <v>101</v>
      </c>
    </row>
    <row r="153" spans="1:50" ht="18.75">
      <c r="A153" s="43" t="s">
        <v>384</v>
      </c>
      <c r="B153" s="251"/>
      <c r="C153" s="272"/>
      <c r="D153" s="251">
        <v>0</v>
      </c>
      <c r="E153" s="271">
        <v>1558800</v>
      </c>
      <c r="F153" s="247">
        <f>SUM(B153:C153)</f>
        <v>0</v>
      </c>
      <c r="I153" s="233"/>
      <c r="J153" s="244"/>
      <c r="K153" s="233"/>
      <c r="L153" s="244"/>
      <c r="M153" s="233">
        <f>SUM(K153:L153)</f>
        <v>0</v>
      </c>
      <c r="O153" s="216"/>
      <c r="P153" s="227"/>
      <c r="Q153" s="216"/>
      <c r="R153" s="227"/>
      <c r="S153" s="216">
        <f>SUM(Q153:R153)</f>
        <v>0</v>
      </c>
      <c r="U153" s="199"/>
      <c r="V153" s="210"/>
      <c r="W153" s="199"/>
      <c r="X153" s="210"/>
      <c r="Y153" s="199">
        <f>SUM(W153:X153)</f>
        <v>0</v>
      </c>
      <c r="AA153" s="181"/>
      <c r="AB153" s="192"/>
      <c r="AC153" s="181"/>
      <c r="AD153" s="192"/>
      <c r="AE153" s="181">
        <f>SUM(AC153:AD153)</f>
        <v>0</v>
      </c>
      <c r="AG153" s="163"/>
      <c r="AH153" s="174"/>
      <c r="AI153" s="163"/>
      <c r="AJ153" s="174">
        <v>2471300.96</v>
      </c>
      <c r="AK153" s="163">
        <f>SUM(AI153:AJ153)</f>
        <v>2471300.96</v>
      </c>
      <c r="AM153" s="107">
        <v>0</v>
      </c>
      <c r="AN153" s="308">
        <v>0</v>
      </c>
      <c r="AO153" s="308">
        <f>SUM(AM153:AN153)</f>
        <v>0</v>
      </c>
      <c r="AP153" s="107">
        <v>0</v>
      </c>
      <c r="AQ153" s="308">
        <v>0</v>
      </c>
      <c r="AR153" s="107">
        <f>SUM(AP153:AQ153)</f>
        <v>0</v>
      </c>
      <c r="AT153" s="279" t="e">
        <f>+#REF!+I153+O153+U153+AA153+AG153+AM153</f>
        <v>#REF!</v>
      </c>
      <c r="AU153" s="279" t="e">
        <f>+A153+J153+P153+V153+AB153+AH153+AN153</f>
        <v>#VALUE!</v>
      </c>
      <c r="AV153" s="279">
        <f>+B153+K153+Q153+W153+AC153+AI153+AP153</f>
        <v>0</v>
      </c>
      <c r="AW153" s="279">
        <f>+C153+L153+R153+X153+AD153+AJ153+AQ153</f>
        <v>2471300.96</v>
      </c>
      <c r="AX153" s="279">
        <f>SUM(AV153:AW153)</f>
        <v>2471300.96</v>
      </c>
    </row>
    <row r="154" spans="1:50" ht="18.75">
      <c r="A154" s="43" t="s">
        <v>90</v>
      </c>
      <c r="B154" s="251"/>
      <c r="C154" s="252"/>
      <c r="D154" s="251">
        <v>0</v>
      </c>
      <c r="E154" s="251">
        <v>2314345.61</v>
      </c>
      <c r="F154" s="247">
        <f>SUM(B154:C154)</f>
        <v>0</v>
      </c>
      <c r="H154" s="145"/>
      <c r="I154" s="233"/>
      <c r="J154" s="233"/>
      <c r="K154" s="233"/>
      <c r="L154" s="233"/>
      <c r="M154" s="233">
        <f>SUM(K154:L154)</f>
        <v>0</v>
      </c>
      <c r="O154" s="216"/>
      <c r="P154" s="216"/>
      <c r="Q154" s="216"/>
      <c r="R154" s="216"/>
      <c r="S154" s="216">
        <f>SUM(Q154:R154)</f>
        <v>0</v>
      </c>
      <c r="U154" s="199"/>
      <c r="V154" s="199"/>
      <c r="W154" s="199"/>
      <c r="X154" s="199"/>
      <c r="Y154" s="199">
        <f>SUM(W154:X154)</f>
        <v>0</v>
      </c>
      <c r="AA154" s="181"/>
      <c r="AB154" s="181"/>
      <c r="AC154" s="181"/>
      <c r="AD154" s="181">
        <f>59150+25000</f>
        <v>84150</v>
      </c>
      <c r="AE154" s="181">
        <f>SUM(AC154:AD154)</f>
        <v>84150</v>
      </c>
      <c r="AG154" s="163"/>
      <c r="AH154" s="163"/>
      <c r="AI154" s="163"/>
      <c r="AJ154" s="163">
        <v>352316</v>
      </c>
      <c r="AK154" s="163">
        <f>SUM(AI154:AJ154)</f>
        <v>352316</v>
      </c>
      <c r="AM154" s="107">
        <v>0</v>
      </c>
      <c r="AN154" s="107">
        <v>121449</v>
      </c>
      <c r="AO154" s="308">
        <f>SUM(AM154:AN154)</f>
        <v>121449</v>
      </c>
      <c r="AP154" s="107">
        <v>0</v>
      </c>
      <c r="AQ154" s="107">
        <v>133681.2</v>
      </c>
      <c r="AR154" s="107">
        <f>SUM(AP154:AQ154)</f>
        <v>133681.2</v>
      </c>
      <c r="AT154" s="279" t="e">
        <f>+#REF!+I154+O154+U154+AA154+AG154+AM154</f>
        <v>#REF!</v>
      </c>
      <c r="AU154" s="279" t="e">
        <f>+A154+J154+P154+V154+AB154+AH154+AN154</f>
        <v>#VALUE!</v>
      </c>
      <c r="AV154" s="279">
        <f>+B154+K154+Q154+W154+AC154+AI154+AP154</f>
        <v>0</v>
      </c>
      <c r="AW154" s="279">
        <f>+C154+L154+R154+X154+AD154+AJ154+AQ154</f>
        <v>570147.2</v>
      </c>
      <c r="AX154" s="279">
        <f>SUM(AV154:AW154)</f>
        <v>570147.2</v>
      </c>
    </row>
    <row r="155" spans="1:60" s="17" customFormat="1" ht="19.5" thickBot="1">
      <c r="A155" s="17" t="s">
        <v>120</v>
      </c>
      <c r="B155" s="255">
        <f>SUM(B153:B154)</f>
        <v>0</v>
      </c>
      <c r="C155" s="256">
        <f>SUM(C153:C154)</f>
        <v>0</v>
      </c>
      <c r="D155" s="255">
        <f>SUM(D153:D154)</f>
        <v>0</v>
      </c>
      <c r="E155" s="255">
        <f>SUM(E153:E154)</f>
        <v>3873145.61</v>
      </c>
      <c r="F155" s="257">
        <f>SUM(F153:F154)</f>
        <v>0</v>
      </c>
      <c r="G155" s="106"/>
      <c r="H155" s="144"/>
      <c r="I155" s="236">
        <f>SUM(I153:I154)</f>
        <v>0</v>
      </c>
      <c r="J155" s="236">
        <f>SUM(J153:J154)</f>
        <v>0</v>
      </c>
      <c r="K155" s="236">
        <f>SUM(K153:K154)</f>
        <v>0</v>
      </c>
      <c r="L155" s="236">
        <f>SUM(L153:L154)</f>
        <v>0</v>
      </c>
      <c r="M155" s="236">
        <f>SUM(M153:M154)</f>
        <v>0</v>
      </c>
      <c r="N155" s="91"/>
      <c r="O155" s="218">
        <f>SUM(O154)</f>
        <v>0</v>
      </c>
      <c r="P155" s="218">
        <f>SUM(P154)</f>
        <v>0</v>
      </c>
      <c r="Q155" s="218">
        <f>SUM(Q154)</f>
        <v>0</v>
      </c>
      <c r="R155" s="218">
        <f>SUM(R154)</f>
        <v>0</v>
      </c>
      <c r="S155" s="218">
        <f>SUM(S154)</f>
        <v>0</v>
      </c>
      <c r="T155" s="91"/>
      <c r="U155" s="201">
        <f>SUM(U154)</f>
        <v>0</v>
      </c>
      <c r="V155" s="201">
        <f>SUM(V154)</f>
        <v>0</v>
      </c>
      <c r="W155" s="201">
        <f>SUM(W154)</f>
        <v>0</v>
      </c>
      <c r="X155" s="201">
        <f>SUM(X154)</f>
        <v>0</v>
      </c>
      <c r="Y155" s="201">
        <f>SUM(Y154)</f>
        <v>0</v>
      </c>
      <c r="Z155" s="91"/>
      <c r="AA155" s="183">
        <f>SUM(AA153:AA154)</f>
        <v>0</v>
      </c>
      <c r="AB155" s="183">
        <f>SUM(AB153:AB154)</f>
        <v>0</v>
      </c>
      <c r="AC155" s="183">
        <f>SUM(AC153:AC154)</f>
        <v>0</v>
      </c>
      <c r="AD155" s="183">
        <f>SUM(AD153:AD154)</f>
        <v>84150</v>
      </c>
      <c r="AE155" s="183">
        <f>SUM(AE153:AE154)</f>
        <v>84150</v>
      </c>
      <c r="AF155" s="106"/>
      <c r="AG155" s="165">
        <f>SUM(AG153:AG154)</f>
        <v>0</v>
      </c>
      <c r="AH155" s="165">
        <f>SUM(AH153:AH154)</f>
        <v>0</v>
      </c>
      <c r="AI155" s="165">
        <f>SUM(AI153:AI154)</f>
        <v>0</v>
      </c>
      <c r="AJ155" s="165">
        <f>SUM(AJ153:AJ154)</f>
        <v>2823616.96</v>
      </c>
      <c r="AK155" s="165">
        <f>SUM(AK153:AK154)</f>
        <v>2823616.96</v>
      </c>
      <c r="AL155" s="91"/>
      <c r="AM155" s="300">
        <f aca="true" t="shared" si="65" ref="AM155:AR155">SUM(AM153:AM154)</f>
        <v>0</v>
      </c>
      <c r="AN155" s="300">
        <f t="shared" si="65"/>
        <v>121449</v>
      </c>
      <c r="AO155" s="300">
        <f t="shared" si="65"/>
        <v>121449</v>
      </c>
      <c r="AP155" s="300">
        <f t="shared" si="65"/>
        <v>0</v>
      </c>
      <c r="AQ155" s="300">
        <f t="shared" si="65"/>
        <v>133681.2</v>
      </c>
      <c r="AR155" s="300">
        <f t="shared" si="65"/>
        <v>133681.2</v>
      </c>
      <c r="AS155" s="91"/>
      <c r="AT155" s="281" t="e">
        <f>SUM(AT153:AT154)</f>
        <v>#REF!</v>
      </c>
      <c r="AU155" s="281" t="e">
        <f>SUM(AU153:AU154)</f>
        <v>#VALUE!</v>
      </c>
      <c r="AV155" s="281">
        <f>SUM(AV153:AV154)</f>
        <v>0</v>
      </c>
      <c r="AW155" s="281">
        <f>SUM(AW153:AW154)</f>
        <v>3041448.16</v>
      </c>
      <c r="AX155" s="281">
        <f>SUM(AX153:AX154)</f>
        <v>3041448.16</v>
      </c>
      <c r="AY155" s="91"/>
      <c r="AZ155" s="144"/>
      <c r="BA155" s="91"/>
      <c r="BB155" s="91"/>
      <c r="BC155" s="91"/>
      <c r="BD155" s="91"/>
      <c r="BE155" s="91"/>
      <c r="BF155" s="91"/>
      <c r="BG155" s="91"/>
      <c r="BH155" s="91"/>
    </row>
    <row r="156" spans="2:60" s="17" customFormat="1" ht="19.5" thickTop="1">
      <c r="B156" s="247"/>
      <c r="C156" s="247"/>
      <c r="D156" s="247"/>
      <c r="E156" s="247"/>
      <c r="F156" s="247"/>
      <c r="G156" s="106"/>
      <c r="H156" s="144"/>
      <c r="I156" s="231"/>
      <c r="J156" s="231"/>
      <c r="K156" s="231"/>
      <c r="L156" s="231"/>
      <c r="M156" s="231"/>
      <c r="N156" s="91"/>
      <c r="O156" s="214"/>
      <c r="P156" s="214"/>
      <c r="Q156" s="214"/>
      <c r="R156" s="214"/>
      <c r="S156" s="214"/>
      <c r="T156" s="91"/>
      <c r="U156" s="197"/>
      <c r="V156" s="197"/>
      <c r="W156" s="197"/>
      <c r="X156" s="197"/>
      <c r="Y156" s="197"/>
      <c r="Z156" s="91"/>
      <c r="AA156" s="179"/>
      <c r="AB156" s="179"/>
      <c r="AC156" s="179"/>
      <c r="AD156" s="179"/>
      <c r="AE156" s="179"/>
      <c r="AF156" s="106"/>
      <c r="AG156" s="161"/>
      <c r="AH156" s="161"/>
      <c r="AI156" s="161"/>
      <c r="AJ156" s="161"/>
      <c r="AK156" s="161"/>
      <c r="AL156" s="91"/>
      <c r="AM156" s="106"/>
      <c r="AN156" s="106"/>
      <c r="AO156" s="106"/>
      <c r="AP156" s="106"/>
      <c r="AQ156" s="106"/>
      <c r="AR156" s="106"/>
      <c r="AS156" s="91"/>
      <c r="AT156" s="277"/>
      <c r="AU156" s="277"/>
      <c r="AV156" s="277"/>
      <c r="AW156" s="277"/>
      <c r="AX156" s="277"/>
      <c r="AY156" s="91"/>
      <c r="AZ156" s="144"/>
      <c r="BA156" s="91"/>
      <c r="BB156" s="91"/>
      <c r="BC156" s="91"/>
      <c r="BD156" s="91"/>
      <c r="BE156" s="91"/>
      <c r="BF156" s="91"/>
      <c r="BG156" s="91"/>
      <c r="BH156" s="91"/>
    </row>
    <row r="157" spans="1:50" ht="18.75">
      <c r="A157" s="51" t="s">
        <v>472</v>
      </c>
      <c r="B157" s="248" t="s">
        <v>56</v>
      </c>
      <c r="C157" s="249" t="s">
        <v>57</v>
      </c>
      <c r="D157" s="248" t="s">
        <v>56</v>
      </c>
      <c r="E157" s="248" t="s">
        <v>57</v>
      </c>
      <c r="F157" s="250"/>
      <c r="G157" s="97"/>
      <c r="I157" s="232" t="s">
        <v>56</v>
      </c>
      <c r="J157" s="232" t="s">
        <v>57</v>
      </c>
      <c r="K157" s="232" t="s">
        <v>56</v>
      </c>
      <c r="L157" s="232" t="s">
        <v>57</v>
      </c>
      <c r="M157" s="232" t="s">
        <v>101</v>
      </c>
      <c r="O157" s="215" t="s">
        <v>56</v>
      </c>
      <c r="P157" s="215" t="s">
        <v>57</v>
      </c>
      <c r="Q157" s="215" t="s">
        <v>56</v>
      </c>
      <c r="R157" s="215" t="s">
        <v>57</v>
      </c>
      <c r="S157" s="215" t="s">
        <v>101</v>
      </c>
      <c r="U157" s="198" t="s">
        <v>56</v>
      </c>
      <c r="V157" s="198" t="s">
        <v>57</v>
      </c>
      <c r="W157" s="198" t="s">
        <v>56</v>
      </c>
      <c r="X157" s="198" t="s">
        <v>57</v>
      </c>
      <c r="Y157" s="198" t="s">
        <v>101</v>
      </c>
      <c r="AA157" s="180" t="s">
        <v>56</v>
      </c>
      <c r="AB157" s="180" t="s">
        <v>57</v>
      </c>
      <c r="AC157" s="180" t="s">
        <v>56</v>
      </c>
      <c r="AD157" s="180" t="s">
        <v>57</v>
      </c>
      <c r="AE157" s="180" t="s">
        <v>101</v>
      </c>
      <c r="AF157" s="97"/>
      <c r="AG157" s="162" t="s">
        <v>56</v>
      </c>
      <c r="AH157" s="162" t="s">
        <v>57</v>
      </c>
      <c r="AI157" s="162" t="s">
        <v>56</v>
      </c>
      <c r="AJ157" s="162" t="s">
        <v>57</v>
      </c>
      <c r="AK157" s="162" t="s">
        <v>101</v>
      </c>
      <c r="AM157" s="18" t="s">
        <v>56</v>
      </c>
      <c r="AN157" s="18" t="s">
        <v>57</v>
      </c>
      <c r="AO157" s="18" t="s">
        <v>101</v>
      </c>
      <c r="AP157" s="18" t="s">
        <v>56</v>
      </c>
      <c r="AQ157" s="18" t="s">
        <v>57</v>
      </c>
      <c r="AR157" s="18" t="s">
        <v>101</v>
      </c>
      <c r="AT157" s="278" t="s">
        <v>56</v>
      </c>
      <c r="AU157" s="278" t="s">
        <v>57</v>
      </c>
      <c r="AV157" s="278" t="s">
        <v>56</v>
      </c>
      <c r="AW157" s="278" t="s">
        <v>57</v>
      </c>
      <c r="AX157" s="278" t="s">
        <v>101</v>
      </c>
    </row>
    <row r="158" spans="1:50" ht="18.75">
      <c r="A158" s="43" t="s">
        <v>415</v>
      </c>
      <c r="B158" s="248"/>
      <c r="C158" s="249"/>
      <c r="D158" s="248"/>
      <c r="E158" s="248"/>
      <c r="F158" s="250"/>
      <c r="G158" s="97"/>
      <c r="I158" s="232"/>
      <c r="J158" s="232"/>
      <c r="K158" s="232"/>
      <c r="L158" s="232"/>
      <c r="M158" s="232"/>
      <c r="O158" s="215"/>
      <c r="P158" s="215"/>
      <c r="Q158" s="215"/>
      <c r="R158" s="215"/>
      <c r="S158" s="215"/>
      <c r="U158" s="198"/>
      <c r="V158" s="198"/>
      <c r="W158" s="198"/>
      <c r="X158" s="198"/>
      <c r="Y158" s="198"/>
      <c r="AA158" s="180"/>
      <c r="AB158" s="180"/>
      <c r="AC158" s="180"/>
      <c r="AD158" s="180"/>
      <c r="AE158" s="180"/>
      <c r="AF158" s="97"/>
      <c r="AG158" s="162"/>
      <c r="AH158" s="162"/>
      <c r="AI158" s="162"/>
      <c r="AJ158" s="162"/>
      <c r="AK158" s="162"/>
      <c r="AM158" s="18">
        <v>0</v>
      </c>
      <c r="AN158" s="18">
        <v>0</v>
      </c>
      <c r="AO158" s="18">
        <f>SUM(AM158:AN158)</f>
        <v>0</v>
      </c>
      <c r="AP158" s="18">
        <v>0</v>
      </c>
      <c r="AQ158" s="94">
        <v>897248.9</v>
      </c>
      <c r="AR158" s="18">
        <f>SUM(AP158:AQ158)</f>
        <v>897248.9</v>
      </c>
      <c r="AT158" s="278"/>
      <c r="AU158" s="278"/>
      <c r="AV158" s="278"/>
      <c r="AW158" s="278"/>
      <c r="AX158" s="278"/>
    </row>
    <row r="159" spans="1:50" ht="18.75">
      <c r="A159" s="43" t="s">
        <v>414</v>
      </c>
      <c r="B159" s="251"/>
      <c r="C159" s="252"/>
      <c r="D159" s="251">
        <v>0</v>
      </c>
      <c r="E159" s="251">
        <v>1955000</v>
      </c>
      <c r="F159" s="247">
        <f>SUM(B159:C159)</f>
        <v>0</v>
      </c>
      <c r="I159" s="233"/>
      <c r="J159" s="233"/>
      <c r="K159" s="233"/>
      <c r="L159" s="233"/>
      <c r="M159" s="233">
        <f>SUM(K159:L159)</f>
        <v>0</v>
      </c>
      <c r="O159" s="216"/>
      <c r="P159" s="216"/>
      <c r="Q159" s="216"/>
      <c r="R159" s="216"/>
      <c r="S159" s="216">
        <f>SUM(Q159:R159)</f>
        <v>0</v>
      </c>
      <c r="U159" s="199"/>
      <c r="V159" s="199"/>
      <c r="W159" s="199"/>
      <c r="X159" s="199">
        <v>43839.38</v>
      </c>
      <c r="Y159" s="199">
        <f>SUM(W159:X159)</f>
        <v>43839.38</v>
      </c>
      <c r="AA159" s="181"/>
      <c r="AB159" s="181">
        <v>27979.83</v>
      </c>
      <c r="AC159" s="181"/>
      <c r="AD159" s="181">
        <v>27979.83</v>
      </c>
      <c r="AE159" s="181">
        <f>SUM(AC159:AD159)</f>
        <v>27979.83</v>
      </c>
      <c r="AG159" s="163"/>
      <c r="AH159" s="163"/>
      <c r="AI159" s="163"/>
      <c r="AJ159" s="163"/>
      <c r="AK159" s="163">
        <f>SUM(AI159:AJ159)</f>
        <v>0</v>
      </c>
      <c r="AM159" s="107">
        <v>0</v>
      </c>
      <c r="AN159" s="107">
        <v>10991.6</v>
      </c>
      <c r="AO159" s="18">
        <f>SUM(AM159:AN159)</f>
        <v>10991.6</v>
      </c>
      <c r="AP159" s="107">
        <v>0</v>
      </c>
      <c r="AQ159" s="107">
        <v>0</v>
      </c>
      <c r="AR159" s="107">
        <f>SUM(AP159:AQ159)</f>
        <v>0</v>
      </c>
      <c r="AT159" s="279" t="e">
        <f>+#REF!+I159+O159+U159+AA159+AG159+AM159</f>
        <v>#REF!</v>
      </c>
      <c r="AU159" s="279" t="e">
        <f>+A159+J159+P159+V159+AB159+AH159+AN159</f>
        <v>#VALUE!</v>
      </c>
      <c r="AV159" s="279">
        <f>+B159+K159+Q159+W159+AC159+AI159+AP159</f>
        <v>0</v>
      </c>
      <c r="AW159" s="279">
        <f>+C159+L159+R159+X159+AD159+AJ159+AQ159</f>
        <v>71819.20999999999</v>
      </c>
      <c r="AX159" s="279">
        <f>SUM(AV159:AW159)</f>
        <v>71819.20999999999</v>
      </c>
    </row>
    <row r="160" spans="1:60" s="17" customFormat="1" ht="19.5" thickBot="1">
      <c r="A160" s="17" t="s">
        <v>413</v>
      </c>
      <c r="B160" s="255">
        <f>SUM(B159:B159)</f>
        <v>0</v>
      </c>
      <c r="C160" s="256">
        <f>SUM(C159:C159)</f>
        <v>0</v>
      </c>
      <c r="D160" s="255">
        <f>SUM(D159:D159)</f>
        <v>0</v>
      </c>
      <c r="E160" s="255">
        <f>SUM(E159:E159)</f>
        <v>1955000</v>
      </c>
      <c r="F160" s="257">
        <f>SUM(F159:F159)</f>
        <v>0</v>
      </c>
      <c r="G160" s="106"/>
      <c r="H160" s="144"/>
      <c r="I160" s="236">
        <f>SUM(I159:I159)</f>
        <v>0</v>
      </c>
      <c r="J160" s="236">
        <f>SUM(J159:J159)</f>
        <v>0</v>
      </c>
      <c r="K160" s="236">
        <f>SUM(K159:K159)</f>
        <v>0</v>
      </c>
      <c r="L160" s="236">
        <f>SUM(L159:L159)</f>
        <v>0</v>
      </c>
      <c r="M160" s="236">
        <f>SUM(M159:M159)</f>
        <v>0</v>
      </c>
      <c r="N160" s="91"/>
      <c r="O160" s="218">
        <f>SUM(O159:O159)</f>
        <v>0</v>
      </c>
      <c r="P160" s="218">
        <f>SUM(P159:P159)</f>
        <v>0</v>
      </c>
      <c r="Q160" s="218">
        <f>SUM(Q159:Q159)</f>
        <v>0</v>
      </c>
      <c r="R160" s="218">
        <f>SUM(R159:R159)</f>
        <v>0</v>
      </c>
      <c r="S160" s="218">
        <f>SUM(S159:S159)</f>
        <v>0</v>
      </c>
      <c r="T160" s="91"/>
      <c r="U160" s="201">
        <f>SUM(U159:U159)</f>
        <v>0</v>
      </c>
      <c r="V160" s="201">
        <f>SUM(V159:V159)</f>
        <v>0</v>
      </c>
      <c r="W160" s="201">
        <f>SUM(W159:W159)</f>
        <v>0</v>
      </c>
      <c r="X160" s="201">
        <f>SUM(X159:X159)</f>
        <v>43839.38</v>
      </c>
      <c r="Y160" s="201">
        <f>SUM(Y159:Y159)</f>
        <v>43839.38</v>
      </c>
      <c r="Z160" s="91"/>
      <c r="AA160" s="183">
        <f>SUM(AA159:AA159)</f>
        <v>0</v>
      </c>
      <c r="AB160" s="183">
        <f>SUM(AB159:AB159)</f>
        <v>27979.83</v>
      </c>
      <c r="AC160" s="183">
        <f>SUM(AC159:AC159)</f>
        <v>0</v>
      </c>
      <c r="AD160" s="183">
        <f>SUM(AD159:AD159)</f>
        <v>27979.83</v>
      </c>
      <c r="AE160" s="183">
        <f>SUM(AE159:AE159)</f>
        <v>27979.83</v>
      </c>
      <c r="AF160" s="106"/>
      <c r="AG160" s="165">
        <f>SUM(AG159:AG159)</f>
        <v>0</v>
      </c>
      <c r="AH160" s="165">
        <f>SUM(AH159:AH159)</f>
        <v>0</v>
      </c>
      <c r="AI160" s="165">
        <f>SUM(AI159:AI159)</f>
        <v>0</v>
      </c>
      <c r="AJ160" s="165">
        <f>SUM(AJ159:AJ159)</f>
        <v>0</v>
      </c>
      <c r="AK160" s="165">
        <f>SUM(AK159:AK159)</f>
        <v>0</v>
      </c>
      <c r="AL160" s="91"/>
      <c r="AM160" s="300">
        <f>SUM(AM159:AM159)</f>
        <v>0</v>
      </c>
      <c r="AN160" s="300">
        <f>SUM(AN159:AN159)</f>
        <v>10991.6</v>
      </c>
      <c r="AO160" s="300">
        <f>SUM(AO159:AO159)</f>
        <v>10991.6</v>
      </c>
      <c r="AP160" s="300">
        <f>SUM(AP158:AP159)</f>
        <v>0</v>
      </c>
      <c r="AQ160" s="300">
        <f>SUM(AQ158:AQ159)</f>
        <v>897248.9</v>
      </c>
      <c r="AR160" s="300">
        <f>SUM(AR158:AR159)</f>
        <v>897248.9</v>
      </c>
      <c r="AS160" s="91"/>
      <c r="AT160" s="281" t="e">
        <f>SUM(AT159:AT159)</f>
        <v>#REF!</v>
      </c>
      <c r="AU160" s="281" t="e">
        <f>SUM(AU159:AU159)</f>
        <v>#VALUE!</v>
      </c>
      <c r="AV160" s="281">
        <f>SUM(AV159:AV159)</f>
        <v>0</v>
      </c>
      <c r="AW160" s="281">
        <f>SUM(AW159:AW159)</f>
        <v>71819.20999999999</v>
      </c>
      <c r="AX160" s="281">
        <f>SUM(AX159:AX159)</f>
        <v>71819.20999999999</v>
      </c>
      <c r="AY160" s="91"/>
      <c r="AZ160" s="144"/>
      <c r="BA160" s="91"/>
      <c r="BB160" s="91"/>
      <c r="BC160" s="91"/>
      <c r="BD160" s="91"/>
      <c r="BE160" s="91"/>
      <c r="BF160" s="91"/>
      <c r="BG160" s="91"/>
      <c r="BH160" s="91"/>
    </row>
    <row r="161" spans="2:60" s="17" customFormat="1" ht="19.5" thickTop="1">
      <c r="B161" s="247"/>
      <c r="C161" s="247"/>
      <c r="D161" s="247"/>
      <c r="E161" s="247"/>
      <c r="F161" s="247"/>
      <c r="G161" s="106"/>
      <c r="H161" s="144"/>
      <c r="I161" s="231"/>
      <c r="J161" s="231"/>
      <c r="K161" s="231"/>
      <c r="L161" s="231"/>
      <c r="M161" s="231"/>
      <c r="N161" s="91"/>
      <c r="O161" s="214"/>
      <c r="P161" s="214"/>
      <c r="Q161" s="214"/>
      <c r="R161" s="214"/>
      <c r="S161" s="214"/>
      <c r="T161" s="91"/>
      <c r="U161" s="197"/>
      <c r="V161" s="197"/>
      <c r="W161" s="197"/>
      <c r="X161" s="197"/>
      <c r="Y161" s="197"/>
      <c r="Z161" s="91"/>
      <c r="AA161" s="179"/>
      <c r="AB161" s="179"/>
      <c r="AC161" s="179"/>
      <c r="AD161" s="179"/>
      <c r="AE161" s="179"/>
      <c r="AF161" s="106"/>
      <c r="AG161" s="161"/>
      <c r="AH161" s="161"/>
      <c r="AI161" s="161"/>
      <c r="AJ161" s="161"/>
      <c r="AK161" s="161"/>
      <c r="AL161" s="91"/>
      <c r="AM161" s="106"/>
      <c r="AN161" s="106"/>
      <c r="AO161" s="106"/>
      <c r="AP161" s="106"/>
      <c r="AQ161" s="106"/>
      <c r="AR161" s="106"/>
      <c r="AS161" s="91"/>
      <c r="AT161" s="277"/>
      <c r="AU161" s="277"/>
      <c r="AV161" s="277"/>
      <c r="AW161" s="277"/>
      <c r="AX161" s="277"/>
      <c r="AY161" s="91"/>
      <c r="AZ161" s="144"/>
      <c r="BA161" s="91"/>
      <c r="BB161" s="91"/>
      <c r="BC161" s="91"/>
      <c r="BD161" s="91"/>
      <c r="BE161" s="91"/>
      <c r="BF161" s="91"/>
      <c r="BG161" s="91"/>
      <c r="BH161" s="91"/>
    </row>
    <row r="162" spans="1:50" ht="18.75">
      <c r="A162" s="51" t="s">
        <v>473</v>
      </c>
      <c r="B162" s="248" t="s">
        <v>56</v>
      </c>
      <c r="C162" s="249" t="s">
        <v>57</v>
      </c>
      <c r="D162" s="248" t="s">
        <v>56</v>
      </c>
      <c r="E162" s="248" t="s">
        <v>57</v>
      </c>
      <c r="F162" s="250"/>
      <c r="G162" s="97"/>
      <c r="I162" s="232" t="s">
        <v>56</v>
      </c>
      <c r="J162" s="232" t="s">
        <v>57</v>
      </c>
      <c r="K162" s="232" t="s">
        <v>56</v>
      </c>
      <c r="L162" s="232" t="s">
        <v>57</v>
      </c>
      <c r="M162" s="232" t="s">
        <v>101</v>
      </c>
      <c r="O162" s="215" t="s">
        <v>56</v>
      </c>
      <c r="P162" s="215" t="s">
        <v>57</v>
      </c>
      <c r="Q162" s="215" t="s">
        <v>56</v>
      </c>
      <c r="R162" s="215" t="s">
        <v>57</v>
      </c>
      <c r="S162" s="215" t="s">
        <v>101</v>
      </c>
      <c r="U162" s="198" t="s">
        <v>56</v>
      </c>
      <c r="V162" s="198" t="s">
        <v>57</v>
      </c>
      <c r="W162" s="198" t="s">
        <v>56</v>
      </c>
      <c r="X162" s="198" t="s">
        <v>57</v>
      </c>
      <c r="Y162" s="198" t="s">
        <v>101</v>
      </c>
      <c r="AA162" s="180" t="s">
        <v>56</v>
      </c>
      <c r="AB162" s="180" t="s">
        <v>57</v>
      </c>
      <c r="AC162" s="180" t="s">
        <v>56</v>
      </c>
      <c r="AD162" s="180" t="s">
        <v>57</v>
      </c>
      <c r="AE162" s="180" t="s">
        <v>101</v>
      </c>
      <c r="AF162" s="97"/>
      <c r="AG162" s="162" t="s">
        <v>56</v>
      </c>
      <c r="AH162" s="162" t="s">
        <v>57</v>
      </c>
      <c r="AI162" s="162" t="s">
        <v>56</v>
      </c>
      <c r="AJ162" s="162" t="s">
        <v>57</v>
      </c>
      <c r="AK162" s="162" t="s">
        <v>101</v>
      </c>
      <c r="AM162" s="18" t="s">
        <v>56</v>
      </c>
      <c r="AN162" s="18" t="s">
        <v>57</v>
      </c>
      <c r="AO162" s="18" t="s">
        <v>101</v>
      </c>
      <c r="AP162" s="18" t="s">
        <v>56</v>
      </c>
      <c r="AQ162" s="18" t="s">
        <v>57</v>
      </c>
      <c r="AR162" s="18" t="s">
        <v>101</v>
      </c>
      <c r="AT162" s="278" t="s">
        <v>56</v>
      </c>
      <c r="AU162" s="278" t="s">
        <v>57</v>
      </c>
      <c r="AV162" s="278" t="s">
        <v>56</v>
      </c>
      <c r="AW162" s="278" t="s">
        <v>57</v>
      </c>
      <c r="AX162" s="278" t="s">
        <v>101</v>
      </c>
    </row>
    <row r="163" spans="1:50" ht="18.75">
      <c r="A163" s="43" t="s">
        <v>226</v>
      </c>
      <c r="B163" s="251"/>
      <c r="C163" s="252"/>
      <c r="D163" s="251">
        <v>0</v>
      </c>
      <c r="E163" s="251">
        <v>5449391.08</v>
      </c>
      <c r="F163" s="247">
        <f>SUM(B163:C163)</f>
        <v>0</v>
      </c>
      <c r="I163" s="233"/>
      <c r="J163" s="233"/>
      <c r="K163" s="233"/>
      <c r="L163" s="233">
        <v>123172.2</v>
      </c>
      <c r="M163" s="233">
        <f>SUM(K163:L163)</f>
        <v>123172.2</v>
      </c>
      <c r="O163" s="216"/>
      <c r="P163" s="216"/>
      <c r="Q163" s="216"/>
      <c r="R163" s="216"/>
      <c r="S163" s="216">
        <f>SUM(Q163:R163)</f>
        <v>0</v>
      </c>
      <c r="U163" s="199"/>
      <c r="V163" s="199"/>
      <c r="W163" s="199"/>
      <c r="X163" s="199"/>
      <c r="Y163" s="199">
        <f>SUM(W163:X163)</f>
        <v>0</v>
      </c>
      <c r="AA163" s="181"/>
      <c r="AB163" s="181"/>
      <c r="AC163" s="181"/>
      <c r="AD163" s="181">
        <f>283609+13225</f>
        <v>296834</v>
      </c>
      <c r="AE163" s="181">
        <f>SUM(AC163:AD163)</f>
        <v>296834</v>
      </c>
      <c r="AG163" s="163"/>
      <c r="AH163" s="163"/>
      <c r="AI163" s="163"/>
      <c r="AJ163" s="163">
        <f>200572+117852.8</f>
        <v>318424.8</v>
      </c>
      <c r="AK163" s="163">
        <f>SUM(AI163:AJ163)</f>
        <v>318424.8</v>
      </c>
      <c r="AM163" s="107">
        <v>0</v>
      </c>
      <c r="AN163" s="107">
        <v>14333.7</v>
      </c>
      <c r="AO163" s="18">
        <f>SUM(AM163:AN163)</f>
        <v>14333.7</v>
      </c>
      <c r="AP163" s="107">
        <v>0</v>
      </c>
      <c r="AQ163" s="107">
        <v>74700</v>
      </c>
      <c r="AR163" s="107">
        <f>SUM(AP163:AQ163)</f>
        <v>74700</v>
      </c>
      <c r="AT163" s="279"/>
      <c r="AU163" s="279"/>
      <c r="AV163" s="279">
        <f>+B163+K163+Q163+W163+AC163+AI163+AP163</f>
        <v>0</v>
      </c>
      <c r="AW163" s="279">
        <f>+C163+L163+R163+X163+AD163+AJ163+AQ163</f>
        <v>813131</v>
      </c>
      <c r="AX163" s="279">
        <f>SUM(AV163:AW163)</f>
        <v>813131</v>
      </c>
    </row>
    <row r="164" spans="1:50" ht="18.75">
      <c r="A164" s="4" t="s">
        <v>91</v>
      </c>
      <c r="B164" s="251"/>
      <c r="C164" s="272"/>
      <c r="D164" s="251">
        <v>0</v>
      </c>
      <c r="E164" s="271">
        <f>3232107.41-148330.16-63000</f>
        <v>3020777.25</v>
      </c>
      <c r="F164" s="247">
        <f>SUM(B164:C164)</f>
        <v>0</v>
      </c>
      <c r="I164" s="233"/>
      <c r="J164" s="244"/>
      <c r="K164" s="233"/>
      <c r="L164" s="244">
        <f>1109141.75+356824</f>
        <v>1465965.75</v>
      </c>
      <c r="M164" s="233">
        <f>SUM(K164:L164)</f>
        <v>1465965.75</v>
      </c>
      <c r="O164" s="216"/>
      <c r="P164" s="227"/>
      <c r="Q164" s="216"/>
      <c r="R164" s="227">
        <f>832961.63+3044140</f>
        <v>3877101.63</v>
      </c>
      <c r="S164" s="216">
        <f>SUM(Q164:R164)</f>
        <v>3877101.63</v>
      </c>
      <c r="U164" s="199"/>
      <c r="V164" s="210"/>
      <c r="W164" s="199"/>
      <c r="X164" s="210">
        <v>1771935.5</v>
      </c>
      <c r="Y164" s="199">
        <f>SUM(W164:X164)</f>
        <v>1771935.5</v>
      </c>
      <c r="AA164" s="181"/>
      <c r="AB164" s="192"/>
      <c r="AC164" s="181"/>
      <c r="AD164" s="192">
        <v>1056632.43</v>
      </c>
      <c r="AE164" s="181">
        <f>SUM(AC164:AD164)</f>
        <v>1056632.43</v>
      </c>
      <c r="AG164" s="163"/>
      <c r="AH164" s="174"/>
      <c r="AI164" s="163"/>
      <c r="AJ164" s="174">
        <v>2471300.96</v>
      </c>
      <c r="AK164" s="163">
        <f>SUM(AI164:AJ164)</f>
        <v>2471300.96</v>
      </c>
      <c r="AM164" s="107">
        <v>0</v>
      </c>
      <c r="AN164" s="308">
        <f>898249.09-121449</f>
        <v>776800.09</v>
      </c>
      <c r="AO164" s="18">
        <f>SUM(AM164:AN164)</f>
        <v>776800.09</v>
      </c>
      <c r="AP164" s="107">
        <v>0</v>
      </c>
      <c r="AQ164" s="308">
        <f>599335.25+100+85360+284.96</f>
        <v>685080.21</v>
      </c>
      <c r="AR164" s="107">
        <f>SUM(AP164:AQ164)</f>
        <v>685080.21</v>
      </c>
      <c r="AT164" s="279"/>
      <c r="AU164" s="279"/>
      <c r="AV164" s="279">
        <f>+B164+K164+Q164+W164+AC164+AI164+AP164</f>
        <v>0</v>
      </c>
      <c r="AW164" s="279">
        <f>+C164+L164+R164+X164+AD164+AJ164+AQ164</f>
        <v>11328016.48</v>
      </c>
      <c r="AX164" s="279">
        <f>SUM(AV164:AW164)</f>
        <v>11328016.48</v>
      </c>
    </row>
    <row r="165" spans="1:56" ht="18.75">
      <c r="A165" s="43" t="s">
        <v>431</v>
      </c>
      <c r="B165" s="251"/>
      <c r="C165" s="252"/>
      <c r="D165" s="251"/>
      <c r="E165" s="251"/>
      <c r="I165" s="233"/>
      <c r="J165" s="233"/>
      <c r="K165" s="233"/>
      <c r="L165" s="233"/>
      <c r="M165" s="233"/>
      <c r="N165" s="50">
        <v>-28776568.74</v>
      </c>
      <c r="O165" s="216"/>
      <c r="P165" s="216"/>
      <c r="Q165" s="216"/>
      <c r="R165" s="216"/>
      <c r="S165" s="216"/>
      <c r="T165" s="50">
        <v>-678569</v>
      </c>
      <c r="U165" s="199"/>
      <c r="V165" s="199"/>
      <c r="W165" s="199"/>
      <c r="X165" s="199"/>
      <c r="Y165" s="199"/>
      <c r="Z165" s="50">
        <v>-23578631.82</v>
      </c>
      <c r="AA165" s="181"/>
      <c r="AB165" s="181"/>
      <c r="AC165" s="181"/>
      <c r="AD165" s="181"/>
      <c r="AE165" s="181"/>
      <c r="AG165" s="163"/>
      <c r="AH165" s="163"/>
      <c r="AI165" s="163"/>
      <c r="AJ165" s="163"/>
      <c r="AK165" s="163"/>
      <c r="AL165" s="50">
        <v>-93718986.65</v>
      </c>
      <c r="AM165" s="107">
        <v>0</v>
      </c>
      <c r="AN165" s="107">
        <v>26678747.16</v>
      </c>
      <c r="AO165" s="18">
        <f>SUM(AM165:AN165)</f>
        <v>26678747.16</v>
      </c>
      <c r="AP165" s="107">
        <v>0</v>
      </c>
      <c r="AQ165" s="107">
        <v>30521994.04</v>
      </c>
      <c r="AR165" s="107">
        <f>SUM(AP165:AQ165)</f>
        <v>30521994.04</v>
      </c>
      <c r="AS165" s="50">
        <v>-30521994.04</v>
      </c>
      <c r="AT165" s="279"/>
      <c r="AU165" s="279"/>
      <c r="AV165" s="279"/>
      <c r="AW165" s="279"/>
      <c r="AX165" s="279"/>
      <c r="AY165" s="50">
        <f>+G165+N165+T165+Z165+AF165+AL165+AS165</f>
        <v>-177274750.25</v>
      </c>
      <c r="AZ165" s="50">
        <v>-716933492.52</v>
      </c>
      <c r="BD165" s="50">
        <v>781075.8000000007</v>
      </c>
    </row>
    <row r="166" spans="1:56" ht="18.75">
      <c r="A166" s="4" t="s">
        <v>432</v>
      </c>
      <c r="B166" s="251"/>
      <c r="C166" s="272"/>
      <c r="D166" s="251"/>
      <c r="E166" s="271"/>
      <c r="I166" s="233"/>
      <c r="J166" s="244"/>
      <c r="K166" s="233"/>
      <c r="L166" s="244"/>
      <c r="M166" s="233"/>
      <c r="N166" s="50">
        <v>28732632.74</v>
      </c>
      <c r="O166" s="216"/>
      <c r="P166" s="227"/>
      <c r="Q166" s="216"/>
      <c r="R166" s="227"/>
      <c r="S166" s="216"/>
      <c r="T166" s="50">
        <v>678569</v>
      </c>
      <c r="U166" s="199"/>
      <c r="V166" s="210"/>
      <c r="W166" s="199"/>
      <c r="X166" s="210"/>
      <c r="Y166" s="199"/>
      <c r="Z166" s="50">
        <v>23340184.8</v>
      </c>
      <c r="AA166" s="181"/>
      <c r="AB166" s="192"/>
      <c r="AC166" s="181"/>
      <c r="AD166" s="192"/>
      <c r="AE166" s="181"/>
      <c r="AG166" s="163"/>
      <c r="AH166" s="174"/>
      <c r="AI166" s="163"/>
      <c r="AJ166" s="174"/>
      <c r="AK166" s="163"/>
      <c r="AL166" s="50">
        <v>93718986.65</v>
      </c>
      <c r="AM166" s="107">
        <v>0</v>
      </c>
      <c r="AN166" s="308">
        <v>-25868918.82</v>
      </c>
      <c r="AO166" s="18">
        <f>SUM(AM166:AN166)</f>
        <v>-25868918.82</v>
      </c>
      <c r="AP166" s="107">
        <v>0</v>
      </c>
      <c r="AQ166" s="308">
        <v>-30095784.01</v>
      </c>
      <c r="AR166" s="107">
        <f>SUM(AP166:AQ166)</f>
        <v>-30095784.01</v>
      </c>
      <c r="AS166" s="50">
        <v>30095784.01</v>
      </c>
      <c r="AT166" s="279"/>
      <c r="AU166" s="279"/>
      <c r="AV166" s="279"/>
      <c r="AW166" s="279"/>
      <c r="AX166" s="279"/>
      <c r="AY166" s="50">
        <f>+G166+N166+T166+Z166+AF166+AL166+AS166</f>
        <v>176566157.2</v>
      </c>
      <c r="AZ166" s="50">
        <v>708223480.58</v>
      </c>
      <c r="BA166" s="50">
        <f>SUM(AZ165:AZ166)</f>
        <v>-8710011.939999938</v>
      </c>
      <c r="BD166" s="50">
        <v>-1223930.6300000027</v>
      </c>
    </row>
    <row r="167" spans="1:60" s="17" customFormat="1" ht="19.5" thickBot="1">
      <c r="A167" s="17" t="s">
        <v>121</v>
      </c>
      <c r="B167" s="255">
        <f>SUM(B163:B166)</f>
        <v>0</v>
      </c>
      <c r="C167" s="256">
        <f>SUM(C163:C166)</f>
        <v>0</v>
      </c>
      <c r="D167" s="255">
        <f>SUM(D163:D166)</f>
        <v>0</v>
      </c>
      <c r="E167" s="255">
        <f>SUM(E163:E166)</f>
        <v>8470168.33</v>
      </c>
      <c r="F167" s="257">
        <f>SUM(F163:F166)</f>
        <v>0</v>
      </c>
      <c r="G167" s="106"/>
      <c r="H167" s="144"/>
      <c r="I167" s="236">
        <f>SUM(I163:I166)</f>
        <v>0</v>
      </c>
      <c r="J167" s="236">
        <f>SUM(J163:J166)</f>
        <v>0</v>
      </c>
      <c r="K167" s="236">
        <f>SUM(K163:K166)</f>
        <v>0</v>
      </c>
      <c r="L167" s="236">
        <f>SUM(L163:L166)</f>
        <v>1589137.95</v>
      </c>
      <c r="M167" s="236">
        <f>SUM(M163:M166)</f>
        <v>1589137.95</v>
      </c>
      <c r="N167" s="91"/>
      <c r="O167" s="218">
        <f>SUM(O163:O166)</f>
        <v>0</v>
      </c>
      <c r="P167" s="218">
        <f>SUM(P163:P166)</f>
        <v>0</v>
      </c>
      <c r="Q167" s="218">
        <f>SUM(Q163:Q166)</f>
        <v>0</v>
      </c>
      <c r="R167" s="218">
        <f>SUM(R163:R166)</f>
        <v>3877101.63</v>
      </c>
      <c r="S167" s="218">
        <f>SUM(S163:S166)</f>
        <v>3877101.63</v>
      </c>
      <c r="T167" s="91"/>
      <c r="U167" s="201">
        <f>SUM(U163:U166)</f>
        <v>0</v>
      </c>
      <c r="V167" s="201">
        <f>SUM(V163:V166)</f>
        <v>0</v>
      </c>
      <c r="W167" s="201">
        <f>SUM(W163:W166)</f>
        <v>0</v>
      </c>
      <c r="X167" s="201">
        <f>SUM(X163:X166)</f>
        <v>1771935.5</v>
      </c>
      <c r="Y167" s="201">
        <f>SUM(Y163:Y166)</f>
        <v>1771935.5</v>
      </c>
      <c r="Z167" s="91"/>
      <c r="AA167" s="183">
        <f>SUM(AA163:AA166)</f>
        <v>0</v>
      </c>
      <c r="AB167" s="183">
        <f>SUM(AB163:AB166)</f>
        <v>0</v>
      </c>
      <c r="AC167" s="183">
        <f>SUM(AC163:AC166)</f>
        <v>0</v>
      </c>
      <c r="AD167" s="183">
        <f>SUM(AD163:AD166)</f>
        <v>1353466.43</v>
      </c>
      <c r="AE167" s="183">
        <f>SUM(AE163:AE166)</f>
        <v>1353466.43</v>
      </c>
      <c r="AF167" s="106"/>
      <c r="AG167" s="165">
        <f>SUM(AG163:AG166)</f>
        <v>0</v>
      </c>
      <c r="AH167" s="165">
        <f>SUM(AH163:AH166)</f>
        <v>0</v>
      </c>
      <c r="AI167" s="165">
        <f>SUM(AI163:AI166)</f>
        <v>0</v>
      </c>
      <c r="AJ167" s="165">
        <f>SUM(AJ163:AJ166)</f>
        <v>2789725.76</v>
      </c>
      <c r="AK167" s="165">
        <f>SUM(AK163:AK166)</f>
        <v>2789725.76</v>
      </c>
      <c r="AL167" s="91"/>
      <c r="AM167" s="300">
        <f aca="true" t="shared" si="66" ref="AM167:AR167">SUM(AM163:AM166)</f>
        <v>0</v>
      </c>
      <c r="AN167" s="300">
        <f t="shared" si="66"/>
        <v>1600962.129999999</v>
      </c>
      <c r="AO167" s="300">
        <f t="shared" si="66"/>
        <v>1600962.129999999</v>
      </c>
      <c r="AP167" s="300">
        <f t="shared" si="66"/>
        <v>0</v>
      </c>
      <c r="AQ167" s="300">
        <f t="shared" si="66"/>
        <v>1185990.2399999984</v>
      </c>
      <c r="AR167" s="300">
        <f t="shared" si="66"/>
        <v>1185990.2399999984</v>
      </c>
      <c r="AS167" s="91"/>
      <c r="AT167" s="281">
        <f>SUM(AT163:AT166)</f>
        <v>0</v>
      </c>
      <c r="AU167" s="281">
        <f>SUM(AU163:AU166)</f>
        <v>0</v>
      </c>
      <c r="AV167" s="281">
        <f>SUM(AV163:AV166)</f>
        <v>0</v>
      </c>
      <c r="AW167" s="281">
        <f>SUM(AW163:AW166)</f>
        <v>12141147.48</v>
      </c>
      <c r="AX167" s="281">
        <f>SUM(AX163:AX166)</f>
        <v>12141147.48</v>
      </c>
      <c r="AY167" s="91"/>
      <c r="AZ167" s="144"/>
      <c r="BA167" s="91"/>
      <c r="BB167" s="91"/>
      <c r="BC167" s="91"/>
      <c r="BD167" s="91"/>
      <c r="BE167" s="91"/>
      <c r="BF167" s="91"/>
      <c r="BG167" s="91"/>
      <c r="BH167" s="91"/>
    </row>
    <row r="168" spans="2:60" s="17" customFormat="1" ht="19.5" thickTop="1">
      <c r="B168" s="247"/>
      <c r="C168" s="247"/>
      <c r="D168" s="247"/>
      <c r="E168" s="247"/>
      <c r="F168" s="247"/>
      <c r="G168" s="106"/>
      <c r="H168" s="144"/>
      <c r="I168" s="231"/>
      <c r="J168" s="231"/>
      <c r="K168" s="231"/>
      <c r="L168" s="231"/>
      <c r="M168" s="231"/>
      <c r="N168" s="91"/>
      <c r="O168" s="214"/>
      <c r="P168" s="214"/>
      <c r="Q168" s="214"/>
      <c r="R168" s="214"/>
      <c r="S168" s="214"/>
      <c r="T168" s="91"/>
      <c r="U168" s="197"/>
      <c r="V168" s="197"/>
      <c r="W168" s="197"/>
      <c r="X168" s="197"/>
      <c r="Y168" s="197"/>
      <c r="Z168" s="91"/>
      <c r="AA168" s="179"/>
      <c r="AB168" s="179"/>
      <c r="AC168" s="179"/>
      <c r="AD168" s="179"/>
      <c r="AE168" s="179"/>
      <c r="AF168" s="106"/>
      <c r="AG168" s="161"/>
      <c r="AH168" s="161"/>
      <c r="AI168" s="161"/>
      <c r="AJ168" s="161"/>
      <c r="AK168" s="161"/>
      <c r="AL168" s="91"/>
      <c r="AM168" s="106"/>
      <c r="AN168" s="106"/>
      <c r="AO168" s="106"/>
      <c r="AP168" s="106"/>
      <c r="AQ168" s="106"/>
      <c r="AR168" s="106"/>
      <c r="AS168" s="91"/>
      <c r="AT168" s="277"/>
      <c r="AU168" s="277"/>
      <c r="AV168" s="277"/>
      <c r="AW168" s="277"/>
      <c r="AX168" s="277"/>
      <c r="AY168" s="91"/>
      <c r="AZ168" s="144"/>
      <c r="BA168" s="91"/>
      <c r="BB168" s="91"/>
      <c r="BC168" s="91"/>
      <c r="BD168" s="91"/>
      <c r="BE168" s="91"/>
      <c r="BF168" s="91"/>
      <c r="BG168" s="91"/>
      <c r="BH168" s="91"/>
    </row>
    <row r="169" spans="2:60" s="17" customFormat="1" ht="18.75">
      <c r="B169" s="247"/>
      <c r="C169" s="247"/>
      <c r="D169" s="247"/>
      <c r="E169" s="247"/>
      <c r="F169" s="247"/>
      <c r="G169" s="106"/>
      <c r="H169" s="144"/>
      <c r="I169" s="231"/>
      <c r="J169" s="231"/>
      <c r="K169" s="231"/>
      <c r="L169" s="231"/>
      <c r="M169" s="231"/>
      <c r="N169" s="91"/>
      <c r="O169" s="214"/>
      <c r="P169" s="214"/>
      <c r="Q169" s="214"/>
      <c r="R169" s="214"/>
      <c r="S169" s="214"/>
      <c r="T169" s="91"/>
      <c r="U169" s="197"/>
      <c r="V169" s="197"/>
      <c r="W169" s="197"/>
      <c r="X169" s="197"/>
      <c r="Y169" s="197"/>
      <c r="Z169" s="91"/>
      <c r="AA169" s="179"/>
      <c r="AB169" s="179"/>
      <c r="AC169" s="179"/>
      <c r="AD169" s="179"/>
      <c r="AE169" s="179"/>
      <c r="AF169" s="106"/>
      <c r="AG169" s="161"/>
      <c r="AH169" s="161"/>
      <c r="AI169" s="161"/>
      <c r="AJ169" s="161"/>
      <c r="AK169" s="161"/>
      <c r="AL169" s="91"/>
      <c r="AM169" s="106"/>
      <c r="AN169" s="106"/>
      <c r="AO169" s="106"/>
      <c r="AP169" s="106"/>
      <c r="AQ169" s="106"/>
      <c r="AR169" s="106"/>
      <c r="AS169" s="91"/>
      <c r="AT169" s="277"/>
      <c r="AU169" s="277"/>
      <c r="AV169" s="277"/>
      <c r="AW169" s="277"/>
      <c r="AX169" s="277"/>
      <c r="AY169" s="91"/>
      <c r="AZ169" s="144"/>
      <c r="BA169" s="91"/>
      <c r="BB169" s="91"/>
      <c r="BC169" s="91"/>
      <c r="BD169" s="91"/>
      <c r="BE169" s="91"/>
      <c r="BF169" s="91"/>
      <c r="BG169" s="91"/>
      <c r="BH169" s="91"/>
    </row>
    <row r="170" spans="1:50" ht="18.75">
      <c r="A170" s="51" t="s">
        <v>474</v>
      </c>
      <c r="B170" s="248" t="s">
        <v>56</v>
      </c>
      <c r="C170" s="249" t="s">
        <v>57</v>
      </c>
      <c r="D170" s="248" t="s">
        <v>56</v>
      </c>
      <c r="E170" s="248" t="s">
        <v>57</v>
      </c>
      <c r="F170" s="250"/>
      <c r="G170" s="97"/>
      <c r="I170" s="232" t="s">
        <v>56</v>
      </c>
      <c r="J170" s="232" t="s">
        <v>57</v>
      </c>
      <c r="K170" s="232" t="s">
        <v>56</v>
      </c>
      <c r="L170" s="232" t="s">
        <v>57</v>
      </c>
      <c r="M170" s="232" t="s">
        <v>101</v>
      </c>
      <c r="O170" s="215" t="s">
        <v>56</v>
      </c>
      <c r="P170" s="215" t="s">
        <v>57</v>
      </c>
      <c r="Q170" s="215" t="s">
        <v>56</v>
      </c>
      <c r="R170" s="215" t="s">
        <v>57</v>
      </c>
      <c r="S170" s="215" t="s">
        <v>101</v>
      </c>
      <c r="U170" s="198" t="s">
        <v>56</v>
      </c>
      <c r="V170" s="198" t="s">
        <v>57</v>
      </c>
      <c r="W170" s="198" t="s">
        <v>56</v>
      </c>
      <c r="X170" s="198" t="s">
        <v>57</v>
      </c>
      <c r="Y170" s="198" t="s">
        <v>101</v>
      </c>
      <c r="AA170" s="180" t="s">
        <v>56</v>
      </c>
      <c r="AB170" s="180" t="s">
        <v>57</v>
      </c>
      <c r="AC170" s="180" t="s">
        <v>56</v>
      </c>
      <c r="AD170" s="180" t="s">
        <v>57</v>
      </c>
      <c r="AE170" s="180" t="s">
        <v>101</v>
      </c>
      <c r="AF170" s="97"/>
      <c r="AG170" s="162" t="s">
        <v>56</v>
      </c>
      <c r="AH170" s="162" t="s">
        <v>57</v>
      </c>
      <c r="AI170" s="162" t="s">
        <v>56</v>
      </c>
      <c r="AJ170" s="162" t="s">
        <v>57</v>
      </c>
      <c r="AK170" s="162" t="s">
        <v>101</v>
      </c>
      <c r="AM170" s="18" t="s">
        <v>56</v>
      </c>
      <c r="AN170" s="18" t="s">
        <v>57</v>
      </c>
      <c r="AO170" s="18" t="s">
        <v>101</v>
      </c>
      <c r="AP170" s="18" t="s">
        <v>56</v>
      </c>
      <c r="AQ170" s="18" t="s">
        <v>57</v>
      </c>
      <c r="AR170" s="18" t="s">
        <v>101</v>
      </c>
      <c r="AT170" s="278" t="s">
        <v>56</v>
      </c>
      <c r="AU170" s="278" t="s">
        <v>57</v>
      </c>
      <c r="AV170" s="278" t="s">
        <v>56</v>
      </c>
      <c r="AW170" s="278" t="s">
        <v>57</v>
      </c>
      <c r="AX170" s="278" t="s">
        <v>101</v>
      </c>
    </row>
    <row r="171" spans="1:53" ht="19.5" thickBot="1">
      <c r="A171" s="43" t="s">
        <v>122</v>
      </c>
      <c r="B171" s="271"/>
      <c r="C171" s="252"/>
      <c r="D171" s="271">
        <f>142179505.47-29094790.79</f>
        <v>113084714.68</v>
      </c>
      <c r="E171" s="251">
        <v>17634912.99</v>
      </c>
      <c r="F171" s="247">
        <f aca="true" t="shared" si="67" ref="F171:F177">SUM(B171:C171)</f>
        <v>0</v>
      </c>
      <c r="I171" s="244"/>
      <c r="J171" s="233"/>
      <c r="K171" s="244">
        <f>29350380+4933178.34</f>
        <v>34283558.34</v>
      </c>
      <c r="L171" s="233"/>
      <c r="M171" s="233">
        <f>SUM(K171:L171)</f>
        <v>34283558.34</v>
      </c>
      <c r="O171" s="227"/>
      <c r="P171" s="216"/>
      <c r="Q171" s="227">
        <f>24339780+4365380</f>
        <v>28705160</v>
      </c>
      <c r="R171" s="216"/>
      <c r="S171" s="216">
        <f>SUM(Q171:R171)</f>
        <v>28705160</v>
      </c>
      <c r="U171" s="210"/>
      <c r="V171" s="199"/>
      <c r="W171" s="210">
        <f>26725000+5547035.92</f>
        <v>32272035.92</v>
      </c>
      <c r="X171" s="199"/>
      <c r="Y171" s="199">
        <f>SUM(W171:X171)</f>
        <v>32272035.92</v>
      </c>
      <c r="AA171" s="192"/>
      <c r="AB171" s="181"/>
      <c r="AC171" s="192">
        <f>14895040+2549314.63</f>
        <v>17444354.63</v>
      </c>
      <c r="AD171" s="181"/>
      <c r="AE171" s="181">
        <f>SUM(AC171:AD171)</f>
        <v>17444354.63</v>
      </c>
      <c r="AG171" s="174">
        <f>46767728+5748152.46</f>
        <v>52515880.46</v>
      </c>
      <c r="AH171" s="163"/>
      <c r="AI171" s="174">
        <f>46767728+5748152.46</f>
        <v>52515880.46</v>
      </c>
      <c r="AJ171" s="163"/>
      <c r="AK171" s="163">
        <f>SUM(AI171:AJ171)</f>
        <v>52515880.46</v>
      </c>
      <c r="AM171" s="308">
        <v>30340400</v>
      </c>
      <c r="AN171" s="107">
        <v>0</v>
      </c>
      <c r="AO171" s="18">
        <f aca="true" t="shared" si="68" ref="AO171:AO196">SUM(AM171:AN171)</f>
        <v>30340400</v>
      </c>
      <c r="AP171" s="308">
        <f>32905421.29+5951729.44</f>
        <v>38857150.73</v>
      </c>
      <c r="AQ171" s="107">
        <v>0</v>
      </c>
      <c r="AR171" s="107">
        <f>SUM(AP171:AQ171)</f>
        <v>38857150.73</v>
      </c>
      <c r="AT171" s="279"/>
      <c r="AU171" s="279"/>
      <c r="AV171" s="279">
        <f aca="true" t="shared" si="69" ref="AV171:AV196">+B171+K171+Q171+W171+AC171+AI171+AP171</f>
        <v>204078140.07999998</v>
      </c>
      <c r="AW171" s="279">
        <f aca="true" t="shared" si="70" ref="AW171:AW196">+C171+L171+R171+X171+AD171+AJ171+AQ171</f>
        <v>0</v>
      </c>
      <c r="AX171" s="279">
        <f>SUM(AV171:AW171)</f>
        <v>204078140.07999998</v>
      </c>
      <c r="AY171" s="50">
        <v>334797767.75</v>
      </c>
      <c r="AZ171" s="137">
        <f>+AX171-AY171</f>
        <v>-130719627.67000002</v>
      </c>
      <c r="BA171" s="148"/>
    </row>
    <row r="172" spans="1:52" ht="19.5" thickTop="1">
      <c r="A172" s="43" t="s">
        <v>124</v>
      </c>
      <c r="B172" s="271"/>
      <c r="C172" s="252"/>
      <c r="D172" s="271">
        <v>26360</v>
      </c>
      <c r="E172" s="251">
        <v>1537450</v>
      </c>
      <c r="F172" s="247">
        <f t="shared" si="67"/>
        <v>0</v>
      </c>
      <c r="I172" s="244"/>
      <c r="J172" s="233"/>
      <c r="K172" s="244">
        <v>60540</v>
      </c>
      <c r="L172" s="233">
        <v>60440</v>
      </c>
      <c r="M172" s="233">
        <f aca="true" t="shared" si="71" ref="M172:M196">SUM(K172:L172)</f>
        <v>120980</v>
      </c>
      <c r="O172" s="227"/>
      <c r="P172" s="216"/>
      <c r="Q172" s="227">
        <v>28780</v>
      </c>
      <c r="R172" s="216"/>
      <c r="S172" s="216">
        <f aca="true" t="shared" si="72" ref="S172:S196">SUM(Q172:R172)</f>
        <v>28780</v>
      </c>
      <c r="U172" s="210"/>
      <c r="V172" s="199"/>
      <c r="W172" s="210">
        <v>29990</v>
      </c>
      <c r="X172" s="199">
        <v>20720</v>
      </c>
      <c r="Y172" s="199">
        <f aca="true" t="shared" si="73" ref="Y172:Y196">SUM(W172:X172)</f>
        <v>50710</v>
      </c>
      <c r="AA172" s="192"/>
      <c r="AB172" s="181"/>
      <c r="AC172" s="192">
        <v>9160</v>
      </c>
      <c r="AD172" s="181">
        <v>80620</v>
      </c>
      <c r="AE172" s="181">
        <f aca="true" t="shared" si="74" ref="AE172:AE196">SUM(AC172:AD172)</f>
        <v>89780</v>
      </c>
      <c r="AG172" s="174">
        <v>193100</v>
      </c>
      <c r="AH172" s="163">
        <v>561030</v>
      </c>
      <c r="AI172" s="174">
        <v>193100</v>
      </c>
      <c r="AJ172" s="163">
        <v>561030</v>
      </c>
      <c r="AK172" s="163">
        <f aca="true" t="shared" si="75" ref="AK172:AK196">SUM(AI172:AJ172)</f>
        <v>754130</v>
      </c>
      <c r="AM172" s="308">
        <v>6720</v>
      </c>
      <c r="AN172" s="107">
        <v>9360</v>
      </c>
      <c r="AO172" s="18">
        <f t="shared" si="68"/>
        <v>16080</v>
      </c>
      <c r="AP172" s="308">
        <v>8490</v>
      </c>
      <c r="AQ172" s="107">
        <v>31200</v>
      </c>
      <c r="AR172" s="107">
        <f aca="true" t="shared" si="76" ref="AR172:AR196">SUM(AP172:AQ172)</f>
        <v>39690</v>
      </c>
      <c r="AT172" s="279"/>
      <c r="AU172" s="279"/>
      <c r="AV172" s="279">
        <f t="shared" si="69"/>
        <v>330060</v>
      </c>
      <c r="AW172" s="279">
        <f t="shared" si="70"/>
        <v>754010</v>
      </c>
      <c r="AX172" s="279">
        <f aca="true" t="shared" si="77" ref="AX172:AX196">SUM(AV172:AW172)</f>
        <v>1084070</v>
      </c>
      <c r="AY172" s="50">
        <v>2647880</v>
      </c>
      <c r="AZ172" s="137">
        <f aca="true" t="shared" si="78" ref="AZ172:AZ196">+AX172-AY172</f>
        <v>-1563810</v>
      </c>
    </row>
    <row r="173" spans="1:52" ht="18.75">
      <c r="A173" s="43" t="s">
        <v>275</v>
      </c>
      <c r="B173" s="271"/>
      <c r="C173" s="252"/>
      <c r="D173" s="271">
        <v>318810.72</v>
      </c>
      <c r="E173" s="251">
        <v>0</v>
      </c>
      <c r="F173" s="247">
        <f t="shared" si="67"/>
        <v>0</v>
      </c>
      <c r="I173" s="244"/>
      <c r="J173" s="233"/>
      <c r="K173" s="244"/>
      <c r="L173" s="233"/>
      <c r="M173" s="233">
        <f t="shared" si="71"/>
        <v>0</v>
      </c>
      <c r="O173" s="227"/>
      <c r="P173" s="216"/>
      <c r="Q173" s="227"/>
      <c r="R173" s="216"/>
      <c r="S173" s="216">
        <f t="shared" si="72"/>
        <v>0</v>
      </c>
      <c r="U173" s="210"/>
      <c r="V173" s="199"/>
      <c r="W173" s="210"/>
      <c r="X173" s="199"/>
      <c r="Y173" s="199">
        <f t="shared" si="73"/>
        <v>0</v>
      </c>
      <c r="AA173" s="192"/>
      <c r="AB173" s="181"/>
      <c r="AC173" s="192"/>
      <c r="AD173" s="181"/>
      <c r="AE173" s="181">
        <f t="shared" si="74"/>
        <v>0</v>
      </c>
      <c r="AG173" s="174"/>
      <c r="AH173" s="163"/>
      <c r="AI173" s="174"/>
      <c r="AJ173" s="163"/>
      <c r="AK173" s="163">
        <f t="shared" si="75"/>
        <v>0</v>
      </c>
      <c r="AM173" s="308">
        <v>19993.02</v>
      </c>
      <c r="AN173" s="107">
        <v>0</v>
      </c>
      <c r="AO173" s="18">
        <f t="shared" si="68"/>
        <v>19993.02</v>
      </c>
      <c r="AP173" s="308">
        <v>71143.5</v>
      </c>
      <c r="AQ173" s="107">
        <v>0</v>
      </c>
      <c r="AR173" s="107">
        <f t="shared" si="76"/>
        <v>71143.5</v>
      </c>
      <c r="AT173" s="279"/>
      <c r="AU173" s="279"/>
      <c r="AV173" s="279">
        <f t="shared" si="69"/>
        <v>71143.5</v>
      </c>
      <c r="AW173" s="279">
        <f t="shared" si="70"/>
        <v>0</v>
      </c>
      <c r="AX173" s="279">
        <f t="shared" si="77"/>
        <v>71143.5</v>
      </c>
      <c r="AY173" s="50">
        <v>318810.72</v>
      </c>
      <c r="AZ173" s="137">
        <f t="shared" si="78"/>
        <v>-247667.21999999997</v>
      </c>
    </row>
    <row r="174" spans="1:50" ht="18.75">
      <c r="A174" s="51" t="s">
        <v>474</v>
      </c>
      <c r="B174" s="248" t="s">
        <v>56</v>
      </c>
      <c r="C174" s="249" t="s">
        <v>57</v>
      </c>
      <c r="D174" s="248" t="s">
        <v>56</v>
      </c>
      <c r="E174" s="248" t="s">
        <v>57</v>
      </c>
      <c r="F174" s="250"/>
      <c r="G174" s="97"/>
      <c r="I174" s="232" t="s">
        <v>56</v>
      </c>
      <c r="J174" s="232" t="s">
        <v>57</v>
      </c>
      <c r="K174" s="232" t="s">
        <v>56</v>
      </c>
      <c r="L174" s="232" t="s">
        <v>57</v>
      </c>
      <c r="M174" s="232" t="s">
        <v>101</v>
      </c>
      <c r="O174" s="215" t="s">
        <v>56</v>
      </c>
      <c r="P174" s="215" t="s">
        <v>57</v>
      </c>
      <c r="Q174" s="215" t="s">
        <v>56</v>
      </c>
      <c r="R174" s="215" t="s">
        <v>57</v>
      </c>
      <c r="S174" s="215" t="s">
        <v>101</v>
      </c>
      <c r="U174" s="198" t="s">
        <v>56</v>
      </c>
      <c r="V174" s="198" t="s">
        <v>57</v>
      </c>
      <c r="W174" s="198" t="s">
        <v>56</v>
      </c>
      <c r="X174" s="198" t="s">
        <v>57</v>
      </c>
      <c r="Y174" s="198" t="s">
        <v>101</v>
      </c>
      <c r="AA174" s="180" t="s">
        <v>56</v>
      </c>
      <c r="AB174" s="180" t="s">
        <v>57</v>
      </c>
      <c r="AC174" s="180" t="s">
        <v>56</v>
      </c>
      <c r="AD174" s="180" t="s">
        <v>57</v>
      </c>
      <c r="AE174" s="180" t="s">
        <v>101</v>
      </c>
      <c r="AF174" s="97"/>
      <c r="AG174" s="162" t="s">
        <v>56</v>
      </c>
      <c r="AH174" s="162" t="s">
        <v>57</v>
      </c>
      <c r="AI174" s="162" t="s">
        <v>56</v>
      </c>
      <c r="AJ174" s="162" t="s">
        <v>57</v>
      </c>
      <c r="AK174" s="162" t="s">
        <v>101</v>
      </c>
      <c r="AM174" s="18" t="s">
        <v>56</v>
      </c>
      <c r="AN174" s="18" t="s">
        <v>57</v>
      </c>
      <c r="AO174" s="18" t="s">
        <v>101</v>
      </c>
      <c r="AP174" s="18" t="s">
        <v>56</v>
      </c>
      <c r="AQ174" s="18" t="s">
        <v>57</v>
      </c>
      <c r="AR174" s="18" t="s">
        <v>101</v>
      </c>
      <c r="AT174" s="278" t="s">
        <v>56</v>
      </c>
      <c r="AU174" s="278" t="s">
        <v>57</v>
      </c>
      <c r="AV174" s="278" t="s">
        <v>56</v>
      </c>
      <c r="AW174" s="278" t="s">
        <v>57</v>
      </c>
      <c r="AX174" s="278" t="s">
        <v>101</v>
      </c>
    </row>
    <row r="175" spans="1:52" ht="18.75">
      <c r="A175" s="43" t="s">
        <v>125</v>
      </c>
      <c r="B175" s="271"/>
      <c r="C175" s="252"/>
      <c r="D175" s="271">
        <v>4930300</v>
      </c>
      <c r="E175" s="251">
        <v>0</v>
      </c>
      <c r="F175" s="247">
        <f t="shared" si="67"/>
        <v>0</v>
      </c>
      <c r="I175" s="244"/>
      <c r="J175" s="233"/>
      <c r="K175" s="244">
        <v>1769380</v>
      </c>
      <c r="L175" s="233"/>
      <c r="M175" s="233">
        <f t="shared" si="71"/>
        <v>1769380</v>
      </c>
      <c r="O175" s="227"/>
      <c r="P175" s="216"/>
      <c r="Q175" s="227">
        <v>1058520</v>
      </c>
      <c r="R175" s="216"/>
      <c r="S175" s="216">
        <f t="shared" si="72"/>
        <v>1058520</v>
      </c>
      <c r="U175" s="210"/>
      <c r="V175" s="199"/>
      <c r="W175" s="210">
        <v>1382540</v>
      </c>
      <c r="X175" s="199"/>
      <c r="Y175" s="199">
        <f t="shared" si="73"/>
        <v>1382540</v>
      </c>
      <c r="AA175" s="192"/>
      <c r="AB175" s="181"/>
      <c r="AC175" s="192">
        <v>3867394</v>
      </c>
      <c r="AD175" s="181"/>
      <c r="AE175" s="181">
        <f t="shared" si="74"/>
        <v>3867394</v>
      </c>
      <c r="AG175" s="174">
        <v>1821000</v>
      </c>
      <c r="AH175" s="163"/>
      <c r="AI175" s="174">
        <v>1821000</v>
      </c>
      <c r="AJ175" s="163"/>
      <c r="AK175" s="163">
        <f t="shared" si="75"/>
        <v>1821000</v>
      </c>
      <c r="AM175" s="308">
        <v>2138880</v>
      </c>
      <c r="AN175" s="107">
        <v>0</v>
      </c>
      <c r="AO175" s="18">
        <f t="shared" si="68"/>
        <v>2138880</v>
      </c>
      <c r="AP175" s="308">
        <v>1926320</v>
      </c>
      <c r="AQ175" s="107">
        <v>0</v>
      </c>
      <c r="AR175" s="107">
        <f t="shared" si="76"/>
        <v>1926320</v>
      </c>
      <c r="AT175" s="279"/>
      <c r="AU175" s="279"/>
      <c r="AV175" s="279">
        <f t="shared" si="69"/>
        <v>11825154</v>
      </c>
      <c r="AW175" s="279">
        <f t="shared" si="70"/>
        <v>0</v>
      </c>
      <c r="AX175" s="279">
        <f t="shared" si="77"/>
        <v>11825154</v>
      </c>
      <c r="AY175" s="50">
        <v>16755454</v>
      </c>
      <c r="AZ175" s="137">
        <f t="shared" si="78"/>
        <v>-4930300</v>
      </c>
    </row>
    <row r="176" spans="1:52" ht="18.75">
      <c r="A176" s="43" t="s">
        <v>276</v>
      </c>
      <c r="B176" s="271"/>
      <c r="C176" s="252"/>
      <c r="D176" s="271">
        <v>0</v>
      </c>
      <c r="E176" s="251"/>
      <c r="F176" s="247">
        <f t="shared" si="67"/>
        <v>0</v>
      </c>
      <c r="I176" s="244"/>
      <c r="J176" s="233"/>
      <c r="K176" s="244">
        <v>125785.48</v>
      </c>
      <c r="L176" s="233">
        <v>12000</v>
      </c>
      <c r="M176" s="233">
        <f t="shared" si="71"/>
        <v>137785.47999999998</v>
      </c>
      <c r="O176" s="227"/>
      <c r="P176" s="216"/>
      <c r="Q176" s="227">
        <v>13500</v>
      </c>
      <c r="R176" s="216"/>
      <c r="S176" s="216">
        <f t="shared" si="72"/>
        <v>13500</v>
      </c>
      <c r="U176" s="210"/>
      <c r="V176" s="199"/>
      <c r="W176" s="210"/>
      <c r="X176" s="199"/>
      <c r="Y176" s="199">
        <f t="shared" si="73"/>
        <v>0</v>
      </c>
      <c r="AA176" s="192"/>
      <c r="AB176" s="181"/>
      <c r="AC176" s="192">
        <v>243841</v>
      </c>
      <c r="AD176" s="181"/>
      <c r="AE176" s="181">
        <f t="shared" si="74"/>
        <v>243841</v>
      </c>
      <c r="AG176" s="174"/>
      <c r="AH176" s="163"/>
      <c r="AI176" s="174"/>
      <c r="AJ176" s="163"/>
      <c r="AK176" s="163">
        <f t="shared" si="75"/>
        <v>0</v>
      </c>
      <c r="AM176" s="308">
        <v>0</v>
      </c>
      <c r="AN176" s="107">
        <v>72000</v>
      </c>
      <c r="AO176" s="18">
        <f t="shared" si="68"/>
        <v>72000</v>
      </c>
      <c r="AP176" s="308">
        <v>0</v>
      </c>
      <c r="AQ176" s="107">
        <v>72000</v>
      </c>
      <c r="AR176" s="107">
        <f t="shared" si="76"/>
        <v>72000</v>
      </c>
      <c r="AT176" s="279"/>
      <c r="AU176" s="279"/>
      <c r="AV176" s="279">
        <f t="shared" si="69"/>
        <v>383126.48</v>
      </c>
      <c r="AW176" s="279">
        <f t="shared" si="70"/>
        <v>84000</v>
      </c>
      <c r="AX176" s="279">
        <f t="shared" si="77"/>
        <v>467126.48</v>
      </c>
      <c r="AY176" s="50">
        <v>467126.48</v>
      </c>
      <c r="AZ176" s="137">
        <f t="shared" si="78"/>
        <v>0</v>
      </c>
    </row>
    <row r="177" spans="1:52" ht="18.75">
      <c r="A177" s="43" t="s">
        <v>126</v>
      </c>
      <c r="B177" s="271"/>
      <c r="C177" s="252"/>
      <c r="D177" s="271">
        <v>145540401.8</v>
      </c>
      <c r="E177" s="251">
        <v>0</v>
      </c>
      <c r="F177" s="247">
        <f t="shared" si="67"/>
        <v>0</v>
      </c>
      <c r="I177" s="244"/>
      <c r="J177" s="233"/>
      <c r="K177" s="244">
        <v>23006067</v>
      </c>
      <c r="L177" s="233"/>
      <c r="M177" s="233">
        <f t="shared" si="71"/>
        <v>23006067</v>
      </c>
      <c r="O177" s="227"/>
      <c r="P177" s="216"/>
      <c r="Q177" s="227">
        <v>3046680</v>
      </c>
      <c r="R177" s="216"/>
      <c r="S177" s="216">
        <f t="shared" si="72"/>
        <v>3046680</v>
      </c>
      <c r="U177" s="210"/>
      <c r="V177" s="199"/>
      <c r="W177" s="210">
        <v>23344884.3</v>
      </c>
      <c r="X177" s="199"/>
      <c r="Y177" s="199">
        <f t="shared" si="73"/>
        <v>23344884.3</v>
      </c>
      <c r="AA177" s="192"/>
      <c r="AB177" s="181"/>
      <c r="AC177" s="192">
        <v>29484399</v>
      </c>
      <c r="AD177" s="181"/>
      <c r="AE177" s="181">
        <f t="shared" si="74"/>
        <v>29484399</v>
      </c>
      <c r="AG177" s="174"/>
      <c r="AH177" s="163"/>
      <c r="AI177" s="174">
        <f>62846.28+33921512.88-62846.28</f>
        <v>33921512.88</v>
      </c>
      <c r="AJ177" s="163"/>
      <c r="AK177" s="163">
        <f t="shared" si="75"/>
        <v>33921512.88</v>
      </c>
      <c r="AM177" s="308">
        <v>27186163</v>
      </c>
      <c r="AN177" s="107">
        <v>0</v>
      </c>
      <c r="AO177" s="18">
        <f t="shared" si="68"/>
        <v>27186163</v>
      </c>
      <c r="AP177" s="308">
        <v>26269001.37</v>
      </c>
      <c r="AQ177" s="107">
        <v>0</v>
      </c>
      <c r="AR177" s="107">
        <f t="shared" si="76"/>
        <v>26269001.37</v>
      </c>
      <c r="AT177" s="279"/>
      <c r="AU177" s="279"/>
      <c r="AV177" s="279">
        <f t="shared" si="69"/>
        <v>139072544.55</v>
      </c>
      <c r="AW177" s="279">
        <f t="shared" si="70"/>
        <v>0</v>
      </c>
      <c r="AX177" s="279">
        <f t="shared" si="77"/>
        <v>139072544.55</v>
      </c>
      <c r="AY177" s="50">
        <v>284612946.35</v>
      </c>
      <c r="AZ177" s="137">
        <f t="shared" si="78"/>
        <v>-145540401.8</v>
      </c>
    </row>
    <row r="178" spans="1:52" ht="18.75">
      <c r="A178" s="43" t="s">
        <v>123</v>
      </c>
      <c r="B178" s="271"/>
      <c r="C178" s="252"/>
      <c r="D178" s="271">
        <v>1061900</v>
      </c>
      <c r="E178" s="251">
        <v>6599422.58</v>
      </c>
      <c r="F178" s="247">
        <f aca="true" t="shared" si="79" ref="F178:F196">SUM(B178:C178)</f>
        <v>0</v>
      </c>
      <c r="I178" s="244"/>
      <c r="J178" s="233"/>
      <c r="K178" s="244">
        <f>5078820.28-4933178.34</f>
        <v>145641.9400000004</v>
      </c>
      <c r="L178" s="233">
        <v>134400</v>
      </c>
      <c r="M178" s="233">
        <f t="shared" si="71"/>
        <v>280041.9400000004</v>
      </c>
      <c r="O178" s="227"/>
      <c r="P178" s="216"/>
      <c r="Q178" s="227"/>
      <c r="R178" s="216">
        <v>172800</v>
      </c>
      <c r="S178" s="216">
        <f t="shared" si="72"/>
        <v>172800</v>
      </c>
      <c r="U178" s="210"/>
      <c r="V178" s="199"/>
      <c r="W178" s="210"/>
      <c r="X178" s="199">
        <v>533200</v>
      </c>
      <c r="Y178" s="199">
        <f t="shared" si="73"/>
        <v>533200</v>
      </c>
      <c r="AA178" s="192"/>
      <c r="AB178" s="181"/>
      <c r="AC178" s="192">
        <f>2816466.63-2549314.63</f>
        <v>267152</v>
      </c>
      <c r="AD178" s="181"/>
      <c r="AE178" s="181">
        <f t="shared" si="74"/>
        <v>267152</v>
      </c>
      <c r="AG178" s="174"/>
      <c r="AH178" s="163"/>
      <c r="AI178" s="174">
        <f>6226392.45-5748152.46</f>
        <v>478239.9900000002</v>
      </c>
      <c r="AJ178" s="163"/>
      <c r="AK178" s="163">
        <f t="shared" si="75"/>
        <v>478239.9900000002</v>
      </c>
      <c r="AM178" s="308">
        <f>2332190.13</f>
        <v>2332190.13</v>
      </c>
      <c r="AN178" s="107">
        <v>0</v>
      </c>
      <c r="AO178" s="18">
        <f t="shared" si="68"/>
        <v>2332190.13</v>
      </c>
      <c r="AP178" s="308">
        <v>0</v>
      </c>
      <c r="AQ178" s="107">
        <v>67200</v>
      </c>
      <c r="AR178" s="107">
        <f t="shared" si="76"/>
        <v>67200</v>
      </c>
      <c r="AT178" s="279"/>
      <c r="AU178" s="279"/>
      <c r="AV178" s="279">
        <f t="shared" si="69"/>
        <v>891033.9300000006</v>
      </c>
      <c r="AW178" s="279">
        <f t="shared" si="70"/>
        <v>907600</v>
      </c>
      <c r="AX178" s="279">
        <f t="shared" si="77"/>
        <v>1798633.9300000006</v>
      </c>
      <c r="AY178" s="50">
        <v>9459956.51</v>
      </c>
      <c r="AZ178" s="137">
        <f t="shared" si="78"/>
        <v>-7661322.579999999</v>
      </c>
    </row>
    <row r="179" spans="1:52" ht="18.75">
      <c r="A179" s="43" t="s">
        <v>219</v>
      </c>
      <c r="B179" s="271"/>
      <c r="C179" s="252"/>
      <c r="D179" s="271">
        <f>44559572.49-21862.45</f>
        <v>44537710.04</v>
      </c>
      <c r="E179" s="251">
        <f>25104650.93+21862.45</f>
        <v>25126513.38</v>
      </c>
      <c r="F179" s="247">
        <f t="shared" si="79"/>
        <v>0</v>
      </c>
      <c r="I179" s="244"/>
      <c r="J179" s="233"/>
      <c r="K179" s="244">
        <v>5334847</v>
      </c>
      <c r="L179" s="233">
        <v>9961513</v>
      </c>
      <c r="M179" s="233">
        <f t="shared" si="71"/>
        <v>15296360</v>
      </c>
      <c r="O179" s="227"/>
      <c r="P179" s="216"/>
      <c r="Q179" s="227">
        <v>2974620</v>
      </c>
      <c r="R179" s="216">
        <v>2247360</v>
      </c>
      <c r="S179" s="216">
        <f t="shared" si="72"/>
        <v>5221980</v>
      </c>
      <c r="U179" s="210"/>
      <c r="V179" s="199"/>
      <c r="W179" s="210">
        <f>414630+4694520</f>
        <v>5109150</v>
      </c>
      <c r="X179" s="199">
        <v>8682537</v>
      </c>
      <c r="Y179" s="199">
        <f t="shared" si="73"/>
        <v>13791687</v>
      </c>
      <c r="AA179" s="192"/>
      <c r="AB179" s="181"/>
      <c r="AC179" s="192">
        <v>1070640</v>
      </c>
      <c r="AD179" s="181">
        <v>8179614</v>
      </c>
      <c r="AE179" s="181">
        <f t="shared" si="74"/>
        <v>9250254</v>
      </c>
      <c r="AG179" s="174"/>
      <c r="AH179" s="163"/>
      <c r="AI179" s="174">
        <v>4210600</v>
      </c>
      <c r="AJ179" s="163">
        <v>17620405.89</v>
      </c>
      <c r="AK179" s="163">
        <f t="shared" si="75"/>
        <v>21831005.89</v>
      </c>
      <c r="AM179" s="308">
        <v>3459540</v>
      </c>
      <c r="AN179" s="107">
        <v>6950779.5</v>
      </c>
      <c r="AO179" s="18">
        <f t="shared" si="68"/>
        <v>10410319.5</v>
      </c>
      <c r="AP179" s="308">
        <v>3828562.25</v>
      </c>
      <c r="AQ179" s="107">
        <v>6480562</v>
      </c>
      <c r="AR179" s="107">
        <f t="shared" si="76"/>
        <v>10309124.25</v>
      </c>
      <c r="AT179" s="279"/>
      <c r="AU179" s="279"/>
      <c r="AV179" s="279">
        <f t="shared" si="69"/>
        <v>22528419.25</v>
      </c>
      <c r="AW179" s="279">
        <f t="shared" si="70"/>
        <v>53171991.89</v>
      </c>
      <c r="AX179" s="279">
        <f t="shared" si="77"/>
        <v>75700411.14</v>
      </c>
      <c r="AY179" s="50">
        <v>125523617.01</v>
      </c>
      <c r="AZ179" s="137">
        <f t="shared" si="78"/>
        <v>-49823205.870000005</v>
      </c>
    </row>
    <row r="180" spans="1:52" ht="18.75">
      <c r="A180" s="82" t="s">
        <v>277</v>
      </c>
      <c r="B180" s="271"/>
      <c r="C180" s="252"/>
      <c r="D180" s="271">
        <v>16007800.91</v>
      </c>
      <c r="E180" s="251">
        <v>0</v>
      </c>
      <c r="F180" s="247">
        <f>SUM(B180:C180)</f>
        <v>0</v>
      </c>
      <c r="I180" s="244"/>
      <c r="J180" s="233"/>
      <c r="K180" s="244">
        <v>288223.5</v>
      </c>
      <c r="L180" s="233"/>
      <c r="M180" s="233">
        <f t="shared" si="71"/>
        <v>288223.5</v>
      </c>
      <c r="O180" s="227"/>
      <c r="P180" s="216"/>
      <c r="Q180" s="227">
        <v>93567</v>
      </c>
      <c r="R180" s="216"/>
      <c r="S180" s="216">
        <f t="shared" si="72"/>
        <v>93567</v>
      </c>
      <c r="U180" s="210"/>
      <c r="V180" s="199"/>
      <c r="W180" s="210">
        <v>197355</v>
      </c>
      <c r="X180" s="199"/>
      <c r="Y180" s="199">
        <f t="shared" si="73"/>
        <v>197355</v>
      </c>
      <c r="AA180" s="192"/>
      <c r="AB180" s="181"/>
      <c r="AC180" s="192">
        <v>93685.5</v>
      </c>
      <c r="AD180" s="181"/>
      <c r="AE180" s="181">
        <f t="shared" si="74"/>
        <v>93685.5</v>
      </c>
      <c r="AG180" s="174"/>
      <c r="AH180" s="163"/>
      <c r="AI180" s="174">
        <v>645359</v>
      </c>
      <c r="AJ180" s="163"/>
      <c r="AK180" s="163">
        <f t="shared" si="75"/>
        <v>645359</v>
      </c>
      <c r="AM180" s="308">
        <v>332737.5</v>
      </c>
      <c r="AN180" s="107">
        <v>0</v>
      </c>
      <c r="AO180" s="18">
        <f t="shared" si="68"/>
        <v>332737.5</v>
      </c>
      <c r="AP180" s="308">
        <v>527145.75</v>
      </c>
      <c r="AQ180" s="107">
        <v>0</v>
      </c>
      <c r="AR180" s="107">
        <f t="shared" si="76"/>
        <v>527145.75</v>
      </c>
      <c r="AT180" s="279"/>
      <c r="AU180" s="279"/>
      <c r="AV180" s="279">
        <f t="shared" si="69"/>
        <v>1845335.75</v>
      </c>
      <c r="AW180" s="279">
        <f t="shared" si="70"/>
        <v>0</v>
      </c>
      <c r="AX180" s="279">
        <f t="shared" si="77"/>
        <v>1845335.75</v>
      </c>
      <c r="AY180" s="50">
        <v>17520669.66</v>
      </c>
      <c r="AZ180" s="137">
        <f t="shared" si="78"/>
        <v>-15675333.91</v>
      </c>
    </row>
    <row r="181" spans="1:52" ht="18.75">
      <c r="A181" s="82" t="s">
        <v>278</v>
      </c>
      <c r="B181" s="271"/>
      <c r="C181" s="252"/>
      <c r="D181" s="271">
        <v>7559172.11</v>
      </c>
      <c r="E181" s="251">
        <v>0</v>
      </c>
      <c r="F181" s="247">
        <f>SUM(B181:C181)</f>
        <v>0</v>
      </c>
      <c r="I181" s="244"/>
      <c r="J181" s="233"/>
      <c r="K181" s="244"/>
      <c r="L181" s="233"/>
      <c r="M181" s="233">
        <f t="shared" si="71"/>
        <v>0</v>
      </c>
      <c r="O181" s="227"/>
      <c r="P181" s="216"/>
      <c r="Q181" s="227"/>
      <c r="R181" s="216"/>
      <c r="S181" s="216">
        <f t="shared" si="72"/>
        <v>0</v>
      </c>
      <c r="U181" s="210"/>
      <c r="V181" s="199"/>
      <c r="W181" s="210"/>
      <c r="X181" s="199"/>
      <c r="Y181" s="199">
        <f t="shared" si="73"/>
        <v>0</v>
      </c>
      <c r="AA181" s="192"/>
      <c r="AB181" s="181"/>
      <c r="AC181" s="192">
        <v>19483.5</v>
      </c>
      <c r="AD181" s="181"/>
      <c r="AE181" s="181">
        <f t="shared" si="74"/>
        <v>19483.5</v>
      </c>
      <c r="AG181" s="174"/>
      <c r="AH181" s="163"/>
      <c r="AI181" s="174"/>
      <c r="AJ181" s="163"/>
      <c r="AK181" s="163">
        <f t="shared" si="75"/>
        <v>0</v>
      </c>
      <c r="AM181" s="308"/>
      <c r="AN181" s="107">
        <v>0</v>
      </c>
      <c r="AO181" s="18">
        <f t="shared" si="68"/>
        <v>0</v>
      </c>
      <c r="AP181" s="308">
        <v>0</v>
      </c>
      <c r="AQ181" s="107">
        <v>0</v>
      </c>
      <c r="AR181" s="107">
        <f t="shared" si="76"/>
        <v>0</v>
      </c>
      <c r="AT181" s="279"/>
      <c r="AU181" s="279"/>
      <c r="AV181" s="279">
        <f t="shared" si="69"/>
        <v>19483.5</v>
      </c>
      <c r="AW181" s="279">
        <f t="shared" si="70"/>
        <v>0</v>
      </c>
      <c r="AX181" s="279">
        <f t="shared" si="77"/>
        <v>19483.5</v>
      </c>
      <c r="AY181" s="50">
        <v>7559172.11</v>
      </c>
      <c r="AZ181" s="137">
        <f t="shared" si="78"/>
        <v>-7539688.61</v>
      </c>
    </row>
    <row r="182" spans="1:52" ht="18.75">
      <c r="A182" s="82" t="s">
        <v>279</v>
      </c>
      <c r="B182" s="271"/>
      <c r="C182" s="252"/>
      <c r="D182" s="271">
        <v>294000</v>
      </c>
      <c r="E182" s="251">
        <v>0</v>
      </c>
      <c r="F182" s="247">
        <f>SUM(B182:C182)</f>
        <v>0</v>
      </c>
      <c r="I182" s="244"/>
      <c r="J182" s="233"/>
      <c r="K182" s="244"/>
      <c r="L182" s="233"/>
      <c r="M182" s="233">
        <f t="shared" si="71"/>
        <v>0</v>
      </c>
      <c r="O182" s="227"/>
      <c r="P182" s="216"/>
      <c r="Q182" s="227"/>
      <c r="R182" s="216"/>
      <c r="S182" s="216">
        <f t="shared" si="72"/>
        <v>0</v>
      </c>
      <c r="U182" s="210"/>
      <c r="V182" s="199"/>
      <c r="W182" s="210"/>
      <c r="X182" s="199"/>
      <c r="Y182" s="199">
        <f t="shared" si="73"/>
        <v>0</v>
      </c>
      <c r="AA182" s="192"/>
      <c r="AB182" s="181"/>
      <c r="AC182" s="192"/>
      <c r="AD182" s="181"/>
      <c r="AE182" s="181">
        <f t="shared" si="74"/>
        <v>0</v>
      </c>
      <c r="AG182" s="174"/>
      <c r="AH182" s="163"/>
      <c r="AI182" s="174"/>
      <c r="AJ182" s="163"/>
      <c r="AK182" s="163">
        <f t="shared" si="75"/>
        <v>0</v>
      </c>
      <c r="AM182" s="308"/>
      <c r="AN182" s="107">
        <v>0</v>
      </c>
      <c r="AO182" s="18">
        <f t="shared" si="68"/>
        <v>0</v>
      </c>
      <c r="AP182" s="308">
        <v>0</v>
      </c>
      <c r="AQ182" s="107">
        <v>0</v>
      </c>
      <c r="AR182" s="107">
        <f t="shared" si="76"/>
        <v>0</v>
      </c>
      <c r="AT182" s="279"/>
      <c r="AU182" s="279"/>
      <c r="AV182" s="279">
        <f t="shared" si="69"/>
        <v>0</v>
      </c>
      <c r="AW182" s="279">
        <f t="shared" si="70"/>
        <v>0</v>
      </c>
      <c r="AX182" s="279">
        <f t="shared" si="77"/>
        <v>0</v>
      </c>
      <c r="AY182" s="50">
        <v>294000</v>
      </c>
      <c r="AZ182" s="137">
        <f t="shared" si="78"/>
        <v>-294000</v>
      </c>
    </row>
    <row r="183" spans="1:52" ht="18.75">
      <c r="A183" s="82" t="s">
        <v>280</v>
      </c>
      <c r="B183" s="271"/>
      <c r="C183" s="252"/>
      <c r="D183" s="271">
        <v>150051.08</v>
      </c>
      <c r="E183" s="251">
        <v>0</v>
      </c>
      <c r="F183" s="247">
        <f>SUM(B183:C183)</f>
        <v>0</v>
      </c>
      <c r="I183" s="244"/>
      <c r="J183" s="233"/>
      <c r="K183" s="244"/>
      <c r="L183" s="233"/>
      <c r="M183" s="233">
        <f t="shared" si="71"/>
        <v>0</v>
      </c>
      <c r="O183" s="227"/>
      <c r="P183" s="216"/>
      <c r="Q183" s="227"/>
      <c r="R183" s="216"/>
      <c r="S183" s="216">
        <f t="shared" si="72"/>
        <v>0</v>
      </c>
      <c r="U183" s="210"/>
      <c r="V183" s="199"/>
      <c r="W183" s="210"/>
      <c r="X183" s="199"/>
      <c r="Y183" s="199">
        <f t="shared" si="73"/>
        <v>0</v>
      </c>
      <c r="AA183" s="192"/>
      <c r="AB183" s="181"/>
      <c r="AC183" s="192"/>
      <c r="AD183" s="181"/>
      <c r="AE183" s="181">
        <f t="shared" si="74"/>
        <v>0</v>
      </c>
      <c r="AG183" s="174"/>
      <c r="AH183" s="163"/>
      <c r="AI183" s="174"/>
      <c r="AJ183" s="163"/>
      <c r="AK183" s="163">
        <f t="shared" si="75"/>
        <v>0</v>
      </c>
      <c r="AM183" s="308"/>
      <c r="AN183" s="107">
        <v>0</v>
      </c>
      <c r="AO183" s="18">
        <f t="shared" si="68"/>
        <v>0</v>
      </c>
      <c r="AP183" s="308">
        <v>0</v>
      </c>
      <c r="AQ183" s="107">
        <v>0</v>
      </c>
      <c r="AR183" s="107">
        <f t="shared" si="76"/>
        <v>0</v>
      </c>
      <c r="AT183" s="279"/>
      <c r="AU183" s="279"/>
      <c r="AV183" s="279">
        <f t="shared" si="69"/>
        <v>0</v>
      </c>
      <c r="AW183" s="279">
        <f t="shared" si="70"/>
        <v>0</v>
      </c>
      <c r="AX183" s="279">
        <f t="shared" si="77"/>
        <v>0</v>
      </c>
      <c r="AY183" s="50">
        <v>178534.58</v>
      </c>
      <c r="AZ183" s="137">
        <f t="shared" si="78"/>
        <v>-178534.58</v>
      </c>
    </row>
    <row r="184" spans="1:52" ht="18.75">
      <c r="A184" s="82" t="s">
        <v>132</v>
      </c>
      <c r="B184" s="271"/>
      <c r="C184" s="252"/>
      <c r="D184" s="271">
        <v>1583936</v>
      </c>
      <c r="E184" s="251">
        <v>0</v>
      </c>
      <c r="F184" s="247">
        <f>SUM(B184:C184)</f>
        <v>0</v>
      </c>
      <c r="I184" s="244"/>
      <c r="J184" s="233"/>
      <c r="K184" s="244">
        <v>329677.5</v>
      </c>
      <c r="L184" s="233"/>
      <c r="M184" s="233">
        <f t="shared" si="71"/>
        <v>329677.5</v>
      </c>
      <c r="O184" s="227"/>
      <c r="P184" s="216"/>
      <c r="Q184" s="227">
        <v>312302.25</v>
      </c>
      <c r="R184" s="216"/>
      <c r="S184" s="216">
        <f t="shared" si="72"/>
        <v>312302.25</v>
      </c>
      <c r="U184" s="210"/>
      <c r="V184" s="199"/>
      <c r="W184" s="210">
        <v>383399</v>
      </c>
      <c r="X184" s="199"/>
      <c r="Y184" s="199">
        <f t="shared" si="73"/>
        <v>383399</v>
      </c>
      <c r="AA184" s="192"/>
      <c r="AB184" s="181"/>
      <c r="AC184" s="192">
        <v>227581.75</v>
      </c>
      <c r="AD184" s="181"/>
      <c r="AE184" s="181">
        <f t="shared" si="74"/>
        <v>227581.75</v>
      </c>
      <c r="AG184" s="176"/>
      <c r="AH184" s="163"/>
      <c r="AI184" s="176">
        <v>836361.25</v>
      </c>
      <c r="AJ184" s="163"/>
      <c r="AK184" s="163">
        <f t="shared" si="75"/>
        <v>836361.25</v>
      </c>
      <c r="AM184" s="308">
        <v>443274</v>
      </c>
      <c r="AN184" s="107">
        <v>0</v>
      </c>
      <c r="AO184" s="18">
        <f t="shared" si="68"/>
        <v>443274</v>
      </c>
      <c r="AP184" s="308">
        <v>496406</v>
      </c>
      <c r="AQ184" s="107">
        <v>0</v>
      </c>
      <c r="AR184" s="107">
        <f t="shared" si="76"/>
        <v>496406</v>
      </c>
      <c r="AT184" s="279"/>
      <c r="AU184" s="279"/>
      <c r="AV184" s="279">
        <f t="shared" si="69"/>
        <v>2585727.75</v>
      </c>
      <c r="AW184" s="279">
        <f t="shared" si="70"/>
        <v>0</v>
      </c>
      <c r="AX184" s="279">
        <f t="shared" si="77"/>
        <v>2585727.75</v>
      </c>
      <c r="AY184" s="50">
        <v>4151013.75</v>
      </c>
      <c r="AZ184" s="137">
        <f t="shared" si="78"/>
        <v>-1565286</v>
      </c>
    </row>
    <row r="185" spans="1:52" ht="18.75">
      <c r="A185" s="43" t="s">
        <v>268</v>
      </c>
      <c r="B185" s="271"/>
      <c r="C185" s="252"/>
      <c r="D185" s="271">
        <v>192943.2</v>
      </c>
      <c r="E185" s="251">
        <v>0</v>
      </c>
      <c r="F185" s="247">
        <f t="shared" si="79"/>
        <v>0</v>
      </c>
      <c r="I185" s="244"/>
      <c r="J185" s="233"/>
      <c r="K185" s="244"/>
      <c r="L185" s="233"/>
      <c r="M185" s="233">
        <f t="shared" si="71"/>
        <v>0</v>
      </c>
      <c r="O185" s="227"/>
      <c r="P185" s="216"/>
      <c r="Q185" s="227"/>
      <c r="R185" s="216"/>
      <c r="S185" s="216">
        <f t="shared" si="72"/>
        <v>0</v>
      </c>
      <c r="U185" s="210"/>
      <c r="V185" s="199"/>
      <c r="W185" s="210"/>
      <c r="X185" s="199"/>
      <c r="Y185" s="199">
        <f t="shared" si="73"/>
        <v>0</v>
      </c>
      <c r="AA185" s="192"/>
      <c r="AB185" s="181"/>
      <c r="AC185" s="192"/>
      <c r="AD185" s="181"/>
      <c r="AE185" s="181">
        <f t="shared" si="74"/>
        <v>0</v>
      </c>
      <c r="AG185" s="174"/>
      <c r="AH185" s="163"/>
      <c r="AI185" s="174">
        <v>221520</v>
      </c>
      <c r="AJ185" s="163"/>
      <c r="AK185" s="163">
        <f t="shared" si="75"/>
        <v>221520</v>
      </c>
      <c r="AM185" s="308"/>
      <c r="AN185" s="107">
        <v>0</v>
      </c>
      <c r="AO185" s="18">
        <f t="shared" si="68"/>
        <v>0</v>
      </c>
      <c r="AP185" s="308">
        <v>98310</v>
      </c>
      <c r="AQ185" s="107">
        <v>0</v>
      </c>
      <c r="AR185" s="107">
        <f t="shared" si="76"/>
        <v>98310</v>
      </c>
      <c r="AT185" s="279"/>
      <c r="AU185" s="279"/>
      <c r="AV185" s="279">
        <f t="shared" si="69"/>
        <v>319830</v>
      </c>
      <c r="AW185" s="279">
        <f t="shared" si="70"/>
        <v>0</v>
      </c>
      <c r="AX185" s="279">
        <f t="shared" si="77"/>
        <v>319830</v>
      </c>
      <c r="AY185" s="50">
        <v>512773.2</v>
      </c>
      <c r="AZ185" s="137">
        <f t="shared" si="78"/>
        <v>-192943.2</v>
      </c>
    </row>
    <row r="186" spans="1:52" ht="18.75">
      <c r="A186" s="43" t="s">
        <v>127</v>
      </c>
      <c r="B186" s="271"/>
      <c r="C186" s="252"/>
      <c r="D186" s="271">
        <v>4460908.34</v>
      </c>
      <c r="E186" s="251">
        <v>0</v>
      </c>
      <c r="F186" s="247">
        <f t="shared" si="79"/>
        <v>0</v>
      </c>
      <c r="I186" s="244"/>
      <c r="J186" s="233"/>
      <c r="K186" s="244">
        <v>481755.6</v>
      </c>
      <c r="L186" s="233"/>
      <c r="M186" s="233">
        <f t="shared" si="71"/>
        <v>481755.6</v>
      </c>
      <c r="O186" s="227"/>
      <c r="P186" s="216"/>
      <c r="Q186" s="227"/>
      <c r="R186" s="216"/>
      <c r="S186" s="216">
        <f t="shared" si="72"/>
        <v>0</v>
      </c>
      <c r="U186" s="210"/>
      <c r="V186" s="199"/>
      <c r="W186" s="210"/>
      <c r="X186" s="199"/>
      <c r="Y186" s="199">
        <f t="shared" si="73"/>
        <v>0</v>
      </c>
      <c r="AA186" s="192"/>
      <c r="AB186" s="181"/>
      <c r="AC186" s="192"/>
      <c r="AD186" s="181"/>
      <c r="AE186" s="181">
        <f t="shared" si="74"/>
        <v>0</v>
      </c>
      <c r="AG186" s="174"/>
      <c r="AH186" s="163"/>
      <c r="AI186" s="174">
        <v>1131295.5</v>
      </c>
      <c r="AJ186" s="163"/>
      <c r="AK186" s="163">
        <f t="shared" si="75"/>
        <v>1131295.5</v>
      </c>
      <c r="AM186" s="308">
        <v>387157</v>
      </c>
      <c r="AN186" s="107">
        <v>0</v>
      </c>
      <c r="AO186" s="18">
        <f t="shared" si="68"/>
        <v>387157</v>
      </c>
      <c r="AP186" s="308">
        <v>381647.63</v>
      </c>
      <c r="AQ186" s="107">
        <v>0</v>
      </c>
      <c r="AR186" s="107">
        <f t="shared" si="76"/>
        <v>381647.63</v>
      </c>
      <c r="AT186" s="279"/>
      <c r="AU186" s="279"/>
      <c r="AV186" s="279">
        <f t="shared" si="69"/>
        <v>1994698.73</v>
      </c>
      <c r="AW186" s="279">
        <f t="shared" si="70"/>
        <v>0</v>
      </c>
      <c r="AX186" s="279">
        <f t="shared" si="77"/>
        <v>1994698.73</v>
      </c>
      <c r="AY186" s="50">
        <v>4460908.34</v>
      </c>
      <c r="AZ186" s="137">
        <f t="shared" si="78"/>
        <v>-2466209.61</v>
      </c>
    </row>
    <row r="187" spans="1:52" ht="18.75">
      <c r="A187" s="43" t="s">
        <v>269</v>
      </c>
      <c r="B187" s="271"/>
      <c r="C187" s="252"/>
      <c r="D187" s="271">
        <v>6691362.51</v>
      </c>
      <c r="E187" s="251">
        <v>0</v>
      </c>
      <c r="F187" s="247">
        <f t="shared" si="79"/>
        <v>0</v>
      </c>
      <c r="I187" s="244"/>
      <c r="J187" s="233"/>
      <c r="K187" s="244">
        <v>722633.4</v>
      </c>
      <c r="L187" s="233"/>
      <c r="M187" s="233">
        <f t="shared" si="71"/>
        <v>722633.4</v>
      </c>
      <c r="O187" s="227"/>
      <c r="P187" s="216"/>
      <c r="Q187" s="227">
        <v>392656.8</v>
      </c>
      <c r="R187" s="216"/>
      <c r="S187" s="216">
        <f t="shared" si="72"/>
        <v>392656.8</v>
      </c>
      <c r="U187" s="210"/>
      <c r="V187" s="199"/>
      <c r="W187" s="210">
        <v>607791.9</v>
      </c>
      <c r="X187" s="199"/>
      <c r="Y187" s="199">
        <f t="shared" si="73"/>
        <v>607791.9</v>
      </c>
      <c r="AA187" s="192"/>
      <c r="AB187" s="181"/>
      <c r="AC187" s="192">
        <v>422718.6</v>
      </c>
      <c r="AD187" s="181"/>
      <c r="AE187" s="181">
        <f t="shared" si="74"/>
        <v>422718.6</v>
      </c>
      <c r="AG187" s="174"/>
      <c r="AH187" s="163"/>
      <c r="AI187" s="174">
        <v>754197</v>
      </c>
      <c r="AJ187" s="163"/>
      <c r="AK187" s="163">
        <f t="shared" si="75"/>
        <v>754197</v>
      </c>
      <c r="AM187" s="308">
        <v>580735.5</v>
      </c>
      <c r="AN187" s="107">
        <v>0</v>
      </c>
      <c r="AO187" s="18">
        <f t="shared" si="68"/>
        <v>580735.5</v>
      </c>
      <c r="AP187" s="308">
        <v>572471.44</v>
      </c>
      <c r="AQ187" s="107">
        <v>0</v>
      </c>
      <c r="AR187" s="107">
        <f t="shared" si="76"/>
        <v>572471.44</v>
      </c>
      <c r="AT187" s="279"/>
      <c r="AU187" s="279"/>
      <c r="AV187" s="279">
        <f t="shared" si="69"/>
        <v>3472469.14</v>
      </c>
      <c r="AW187" s="279">
        <f t="shared" si="70"/>
        <v>0</v>
      </c>
      <c r="AX187" s="279">
        <f t="shared" si="77"/>
        <v>3472469.14</v>
      </c>
      <c r="AY187" s="50">
        <v>6691362.51</v>
      </c>
      <c r="AZ187" s="137">
        <f t="shared" si="78"/>
        <v>-3218893.3699999996</v>
      </c>
    </row>
    <row r="188" spans="1:52" ht="18.75">
      <c r="A188" s="43" t="s">
        <v>270</v>
      </c>
      <c r="B188" s="271"/>
      <c r="C188" s="252"/>
      <c r="D188" s="271">
        <v>647566.15</v>
      </c>
      <c r="E188" s="251">
        <v>0</v>
      </c>
      <c r="F188" s="247">
        <f t="shared" si="79"/>
        <v>0</v>
      </c>
      <c r="I188" s="244"/>
      <c r="J188" s="233"/>
      <c r="K188" s="244">
        <v>144876.6</v>
      </c>
      <c r="L188" s="233"/>
      <c r="M188" s="233">
        <f t="shared" si="71"/>
        <v>144876.6</v>
      </c>
      <c r="O188" s="227"/>
      <c r="P188" s="216"/>
      <c r="Q188" s="227">
        <v>588985.2</v>
      </c>
      <c r="R188" s="216"/>
      <c r="S188" s="216">
        <f t="shared" si="72"/>
        <v>588985.2</v>
      </c>
      <c r="U188" s="210"/>
      <c r="V188" s="199"/>
      <c r="W188" s="210">
        <v>132668.4</v>
      </c>
      <c r="X188" s="199"/>
      <c r="Y188" s="199">
        <f t="shared" si="73"/>
        <v>132668.4</v>
      </c>
      <c r="AA188" s="192"/>
      <c r="AB188" s="181"/>
      <c r="AC188" s="192">
        <v>14472</v>
      </c>
      <c r="AD188" s="181"/>
      <c r="AE188" s="181">
        <f t="shared" si="74"/>
        <v>14472</v>
      </c>
      <c r="AG188" s="174"/>
      <c r="AH188" s="163"/>
      <c r="AI188" s="174">
        <v>108421.2</v>
      </c>
      <c r="AJ188" s="163"/>
      <c r="AK188" s="163">
        <f t="shared" si="75"/>
        <v>108421.2</v>
      </c>
      <c r="AM188" s="308">
        <v>59925.6</v>
      </c>
      <c r="AN188" s="107">
        <v>0</v>
      </c>
      <c r="AO188" s="18">
        <f t="shared" si="68"/>
        <v>59925.6</v>
      </c>
      <c r="AP188" s="308">
        <v>80719.2</v>
      </c>
      <c r="AQ188" s="107">
        <v>0</v>
      </c>
      <c r="AR188" s="107">
        <f t="shared" si="76"/>
        <v>80719.2</v>
      </c>
      <c r="AT188" s="279"/>
      <c r="AU188" s="279"/>
      <c r="AV188" s="279">
        <f t="shared" si="69"/>
        <v>1070142.5999999999</v>
      </c>
      <c r="AW188" s="279">
        <f t="shared" si="70"/>
        <v>0</v>
      </c>
      <c r="AX188" s="279">
        <f t="shared" si="77"/>
        <v>1070142.5999999999</v>
      </c>
      <c r="AY188" s="50">
        <v>647566.15</v>
      </c>
      <c r="AZ188" s="137">
        <f t="shared" si="78"/>
        <v>422576.44999999984</v>
      </c>
    </row>
    <row r="189" spans="1:52" ht="18.75">
      <c r="A189" s="43" t="s">
        <v>128</v>
      </c>
      <c r="B189" s="271"/>
      <c r="C189" s="252"/>
      <c r="D189" s="271">
        <f>262284</f>
        <v>262284</v>
      </c>
      <c r="E189" s="251">
        <v>1828185</v>
      </c>
      <c r="F189" s="247">
        <f t="shared" si="79"/>
        <v>0</v>
      </c>
      <c r="I189" s="244"/>
      <c r="J189" s="233"/>
      <c r="K189" s="244">
        <v>742455</v>
      </c>
      <c r="L189" s="233">
        <v>460537</v>
      </c>
      <c r="M189" s="233">
        <f t="shared" si="71"/>
        <v>1202992</v>
      </c>
      <c r="O189" s="227"/>
      <c r="P189" s="216"/>
      <c r="Q189" s="227">
        <v>141894</v>
      </c>
      <c r="R189" s="216">
        <v>112440</v>
      </c>
      <c r="S189" s="216">
        <f t="shared" si="72"/>
        <v>254334</v>
      </c>
      <c r="U189" s="210"/>
      <c r="V189" s="199"/>
      <c r="W189" s="210">
        <v>689866</v>
      </c>
      <c r="X189" s="199">
        <v>384499</v>
      </c>
      <c r="Y189" s="199">
        <f t="shared" si="73"/>
        <v>1074365</v>
      </c>
      <c r="AA189" s="192"/>
      <c r="AB189" s="181"/>
      <c r="AC189" s="192">
        <v>957370</v>
      </c>
      <c r="AD189" s="181">
        <v>374117</v>
      </c>
      <c r="AE189" s="181">
        <f t="shared" si="74"/>
        <v>1331487</v>
      </c>
      <c r="AG189" s="174"/>
      <c r="AH189" s="163"/>
      <c r="AI189" s="174">
        <v>976749</v>
      </c>
      <c r="AJ189" s="163">
        <v>807664</v>
      </c>
      <c r="AK189" s="163">
        <f t="shared" si="75"/>
        <v>1784413</v>
      </c>
      <c r="AM189" s="308">
        <v>87330</v>
      </c>
      <c r="AN189" s="107">
        <v>296874</v>
      </c>
      <c r="AO189" s="18">
        <f t="shared" si="68"/>
        <v>384204</v>
      </c>
      <c r="AP189" s="308">
        <v>79309</v>
      </c>
      <c r="AQ189" s="107">
        <v>275653</v>
      </c>
      <c r="AR189" s="107">
        <f t="shared" si="76"/>
        <v>354962</v>
      </c>
      <c r="AT189" s="279"/>
      <c r="AU189" s="279"/>
      <c r="AV189" s="279">
        <f t="shared" si="69"/>
        <v>3587643</v>
      </c>
      <c r="AW189" s="279">
        <f t="shared" si="70"/>
        <v>2414910</v>
      </c>
      <c r="AX189" s="279">
        <f t="shared" si="77"/>
        <v>6002553</v>
      </c>
      <c r="AY189" s="50">
        <v>8092006</v>
      </c>
      <c r="AZ189" s="137">
        <f t="shared" si="78"/>
        <v>-2089453</v>
      </c>
    </row>
    <row r="190" spans="1:52" ht="18.75">
      <c r="A190" s="43" t="s">
        <v>129</v>
      </c>
      <c r="B190" s="271"/>
      <c r="C190" s="252"/>
      <c r="D190" s="271">
        <v>0</v>
      </c>
      <c r="E190" s="251">
        <v>80000</v>
      </c>
      <c r="F190" s="247">
        <f t="shared" si="79"/>
        <v>0</v>
      </c>
      <c r="I190" s="244"/>
      <c r="J190" s="233"/>
      <c r="K190" s="244">
        <v>88000</v>
      </c>
      <c r="L190" s="233"/>
      <c r="M190" s="233">
        <f t="shared" si="71"/>
        <v>88000</v>
      </c>
      <c r="O190" s="227"/>
      <c r="P190" s="216"/>
      <c r="Q190" s="227"/>
      <c r="R190" s="216"/>
      <c r="S190" s="216">
        <f t="shared" si="72"/>
        <v>0</v>
      </c>
      <c r="U190" s="210"/>
      <c r="V190" s="199"/>
      <c r="W190" s="210"/>
      <c r="X190" s="199"/>
      <c r="Y190" s="199">
        <f t="shared" si="73"/>
        <v>0</v>
      </c>
      <c r="AA190" s="192"/>
      <c r="AB190" s="181"/>
      <c r="AC190" s="192">
        <v>192000</v>
      </c>
      <c r="AD190" s="181"/>
      <c r="AE190" s="181">
        <f t="shared" si="74"/>
        <v>192000</v>
      </c>
      <c r="AG190" s="174"/>
      <c r="AH190" s="163"/>
      <c r="AI190" s="174"/>
      <c r="AJ190" s="163"/>
      <c r="AK190" s="163">
        <f t="shared" si="75"/>
        <v>0</v>
      </c>
      <c r="AM190" s="308">
        <v>0</v>
      </c>
      <c r="AN190" s="107">
        <v>0</v>
      </c>
      <c r="AO190" s="18">
        <f t="shared" si="68"/>
        <v>0</v>
      </c>
      <c r="AP190" s="308">
        <v>96000</v>
      </c>
      <c r="AQ190" s="107">
        <v>0</v>
      </c>
      <c r="AR190" s="107">
        <f t="shared" si="76"/>
        <v>96000</v>
      </c>
      <c r="AT190" s="279"/>
      <c r="AU190" s="279"/>
      <c r="AV190" s="279">
        <f t="shared" si="69"/>
        <v>376000</v>
      </c>
      <c r="AW190" s="279">
        <f t="shared" si="70"/>
        <v>0</v>
      </c>
      <c r="AX190" s="279">
        <f t="shared" si="77"/>
        <v>376000</v>
      </c>
      <c r="AY190" s="50">
        <v>456000</v>
      </c>
      <c r="AZ190" s="137">
        <f t="shared" si="78"/>
        <v>-80000</v>
      </c>
    </row>
    <row r="191" spans="1:52" ht="18.75">
      <c r="A191" s="43" t="s">
        <v>271</v>
      </c>
      <c r="B191" s="271"/>
      <c r="C191" s="252"/>
      <c r="D191" s="271">
        <v>0</v>
      </c>
      <c r="E191" s="251">
        <v>0</v>
      </c>
      <c r="F191" s="247">
        <f t="shared" si="79"/>
        <v>0</v>
      </c>
      <c r="I191" s="244"/>
      <c r="J191" s="233"/>
      <c r="K191" s="244">
        <v>23080</v>
      </c>
      <c r="L191" s="233"/>
      <c r="M191" s="233">
        <f t="shared" si="71"/>
        <v>23080</v>
      </c>
      <c r="O191" s="227"/>
      <c r="P191" s="216"/>
      <c r="Q191" s="227">
        <v>3320</v>
      </c>
      <c r="R191" s="216"/>
      <c r="S191" s="216">
        <f t="shared" si="72"/>
        <v>3320</v>
      </c>
      <c r="U191" s="210"/>
      <c r="V191" s="199"/>
      <c r="W191" s="210"/>
      <c r="X191" s="199"/>
      <c r="Y191" s="199">
        <f t="shared" si="73"/>
        <v>0</v>
      </c>
      <c r="AA191" s="192"/>
      <c r="AB191" s="181"/>
      <c r="AC191" s="192"/>
      <c r="AD191" s="181"/>
      <c r="AE191" s="181">
        <f t="shared" si="74"/>
        <v>0</v>
      </c>
      <c r="AG191" s="174"/>
      <c r="AH191" s="163"/>
      <c r="AI191" s="174">
        <v>3880</v>
      </c>
      <c r="AJ191" s="163"/>
      <c r="AK191" s="163">
        <f t="shared" si="75"/>
        <v>3880</v>
      </c>
      <c r="AM191" s="308">
        <v>0</v>
      </c>
      <c r="AN191" s="107">
        <v>0</v>
      </c>
      <c r="AO191" s="18">
        <f t="shared" si="68"/>
        <v>0</v>
      </c>
      <c r="AP191" s="308">
        <v>0</v>
      </c>
      <c r="AQ191" s="107">
        <v>0</v>
      </c>
      <c r="AR191" s="107">
        <f t="shared" si="76"/>
        <v>0</v>
      </c>
      <c r="AT191" s="279"/>
      <c r="AU191" s="279"/>
      <c r="AV191" s="279">
        <f t="shared" si="69"/>
        <v>30280</v>
      </c>
      <c r="AW191" s="279">
        <f t="shared" si="70"/>
        <v>0</v>
      </c>
      <c r="AX191" s="279">
        <f t="shared" si="77"/>
        <v>30280</v>
      </c>
      <c r="AY191" s="50">
        <v>57960</v>
      </c>
      <c r="AZ191" s="137">
        <f t="shared" si="78"/>
        <v>-27680</v>
      </c>
    </row>
    <row r="192" spans="1:52" ht="18.75">
      <c r="A192" s="43" t="s">
        <v>130</v>
      </c>
      <c r="B192" s="271"/>
      <c r="C192" s="252"/>
      <c r="D192" s="271">
        <v>2335500</v>
      </c>
      <c r="E192" s="251">
        <v>4600000</v>
      </c>
      <c r="F192" s="247">
        <f t="shared" si="79"/>
        <v>0</v>
      </c>
      <c r="I192" s="244"/>
      <c r="J192" s="233"/>
      <c r="K192" s="244"/>
      <c r="L192" s="233"/>
      <c r="M192" s="233">
        <f t="shared" si="71"/>
        <v>0</v>
      </c>
      <c r="O192" s="227"/>
      <c r="P192" s="216"/>
      <c r="Q192" s="227"/>
      <c r="R192" s="216"/>
      <c r="S192" s="216">
        <f t="shared" si="72"/>
        <v>0</v>
      </c>
      <c r="U192" s="210"/>
      <c r="V192" s="199"/>
      <c r="W192" s="210"/>
      <c r="X192" s="199"/>
      <c r="Y192" s="199">
        <f t="shared" si="73"/>
        <v>0</v>
      </c>
      <c r="AA192" s="192"/>
      <c r="AB192" s="181"/>
      <c r="AC192" s="192"/>
      <c r="AD192" s="181"/>
      <c r="AE192" s="181">
        <f t="shared" si="74"/>
        <v>0</v>
      </c>
      <c r="AG192" s="174"/>
      <c r="AH192" s="163"/>
      <c r="AI192" s="174"/>
      <c r="AJ192" s="163"/>
      <c r="AK192" s="163">
        <f t="shared" si="75"/>
        <v>0</v>
      </c>
      <c r="AM192" s="308">
        <v>0</v>
      </c>
      <c r="AN192" s="107">
        <v>0</v>
      </c>
      <c r="AO192" s="18">
        <f t="shared" si="68"/>
        <v>0</v>
      </c>
      <c r="AP192" s="308">
        <v>0</v>
      </c>
      <c r="AQ192" s="107">
        <v>0</v>
      </c>
      <c r="AR192" s="107">
        <f t="shared" si="76"/>
        <v>0</v>
      </c>
      <c r="AT192" s="279"/>
      <c r="AU192" s="279"/>
      <c r="AV192" s="279">
        <f t="shared" si="69"/>
        <v>0</v>
      </c>
      <c r="AW192" s="279">
        <f t="shared" si="70"/>
        <v>0</v>
      </c>
      <c r="AX192" s="279">
        <f t="shared" si="77"/>
        <v>0</v>
      </c>
      <c r="AY192" s="50">
        <v>6935500</v>
      </c>
      <c r="AZ192" s="137">
        <f t="shared" si="78"/>
        <v>-6935500</v>
      </c>
    </row>
    <row r="193" spans="1:52" ht="18.75">
      <c r="A193" s="43" t="s">
        <v>272</v>
      </c>
      <c r="B193" s="271"/>
      <c r="C193" s="252"/>
      <c r="D193" s="271">
        <v>0</v>
      </c>
      <c r="E193" s="251">
        <v>0</v>
      </c>
      <c r="F193" s="247">
        <f t="shared" si="79"/>
        <v>0</v>
      </c>
      <c r="I193" s="244"/>
      <c r="J193" s="233"/>
      <c r="K193" s="244">
        <v>322518.36</v>
      </c>
      <c r="L193" s="233"/>
      <c r="M193" s="233">
        <f t="shared" si="71"/>
        <v>322518.36</v>
      </c>
      <c r="O193" s="227"/>
      <c r="P193" s="216"/>
      <c r="Q193" s="227">
        <v>24604.8</v>
      </c>
      <c r="R193" s="216"/>
      <c r="S193" s="216">
        <f t="shared" si="72"/>
        <v>24604.8</v>
      </c>
      <c r="U193" s="210"/>
      <c r="V193" s="199"/>
      <c r="W193" s="210"/>
      <c r="X193" s="199"/>
      <c r="Y193" s="199">
        <f t="shared" si="73"/>
        <v>0</v>
      </c>
      <c r="AA193" s="192"/>
      <c r="AB193" s="181"/>
      <c r="AC193" s="192">
        <v>508124</v>
      </c>
      <c r="AD193" s="181"/>
      <c r="AE193" s="181">
        <f t="shared" si="74"/>
        <v>508124</v>
      </c>
      <c r="AG193" s="174"/>
      <c r="AH193" s="163"/>
      <c r="AI193" s="174">
        <v>415639</v>
      </c>
      <c r="AJ193" s="163"/>
      <c r="AK193" s="163">
        <f t="shared" si="75"/>
        <v>415639</v>
      </c>
      <c r="AM193" s="308">
        <v>0</v>
      </c>
      <c r="AN193" s="107">
        <v>0</v>
      </c>
      <c r="AO193" s="18">
        <f t="shared" si="68"/>
        <v>0</v>
      </c>
      <c r="AP193" s="308">
        <v>0</v>
      </c>
      <c r="AQ193" s="107">
        <v>0</v>
      </c>
      <c r="AR193" s="107">
        <f t="shared" si="76"/>
        <v>0</v>
      </c>
      <c r="AT193" s="279"/>
      <c r="AU193" s="279"/>
      <c r="AV193" s="279">
        <f t="shared" si="69"/>
        <v>1270886.16</v>
      </c>
      <c r="AW193" s="279">
        <f t="shared" si="70"/>
        <v>0</v>
      </c>
      <c r="AX193" s="279">
        <f t="shared" si="77"/>
        <v>1270886.16</v>
      </c>
      <c r="AY193" s="50">
        <v>1270886.16</v>
      </c>
      <c r="AZ193" s="137">
        <f t="shared" si="78"/>
        <v>0</v>
      </c>
    </row>
    <row r="194" spans="1:52" ht="18.75">
      <c r="A194" s="43" t="s">
        <v>273</v>
      </c>
      <c r="B194" s="271"/>
      <c r="C194" s="252"/>
      <c r="D194" s="271">
        <v>292300</v>
      </c>
      <c r="E194" s="251">
        <v>387554.84</v>
      </c>
      <c r="F194" s="247">
        <f t="shared" si="79"/>
        <v>0</v>
      </c>
      <c r="I194" s="244"/>
      <c r="J194" s="233"/>
      <c r="K194" s="244"/>
      <c r="L194" s="233"/>
      <c r="M194" s="233">
        <f t="shared" si="71"/>
        <v>0</v>
      </c>
      <c r="O194" s="227"/>
      <c r="P194" s="216"/>
      <c r="Q194" s="227"/>
      <c r="R194" s="216"/>
      <c r="S194" s="216">
        <f t="shared" si="72"/>
        <v>0</v>
      </c>
      <c r="U194" s="210"/>
      <c r="V194" s="199"/>
      <c r="W194" s="210"/>
      <c r="X194" s="199"/>
      <c r="Y194" s="199">
        <f t="shared" si="73"/>
        <v>0</v>
      </c>
      <c r="AA194" s="192"/>
      <c r="AB194" s="181"/>
      <c r="AC194" s="192"/>
      <c r="AD194" s="181"/>
      <c r="AE194" s="181">
        <f t="shared" si="74"/>
        <v>0</v>
      </c>
      <c r="AG194" s="174"/>
      <c r="AH194" s="163"/>
      <c r="AI194" s="174">
        <v>304800</v>
      </c>
      <c r="AJ194" s="163"/>
      <c r="AK194" s="163">
        <f t="shared" si="75"/>
        <v>304800</v>
      </c>
      <c r="AM194" s="308">
        <v>0</v>
      </c>
      <c r="AN194" s="107">
        <v>0</v>
      </c>
      <c r="AO194" s="18">
        <f t="shared" si="68"/>
        <v>0</v>
      </c>
      <c r="AP194" s="308">
        <v>304800</v>
      </c>
      <c r="AQ194" s="107">
        <v>0</v>
      </c>
      <c r="AR194" s="107">
        <f t="shared" si="76"/>
        <v>304800</v>
      </c>
      <c r="AT194" s="279"/>
      <c r="AU194" s="279"/>
      <c r="AV194" s="279">
        <f t="shared" si="69"/>
        <v>609600</v>
      </c>
      <c r="AW194" s="279">
        <f t="shared" si="70"/>
        <v>0</v>
      </c>
      <c r="AX194" s="279">
        <f t="shared" si="77"/>
        <v>609600</v>
      </c>
      <c r="AY194" s="50">
        <v>1289454.84</v>
      </c>
      <c r="AZ194" s="137">
        <f t="shared" si="78"/>
        <v>-679854.8400000001</v>
      </c>
    </row>
    <row r="195" spans="1:52" ht="18.75">
      <c r="A195" s="43" t="s">
        <v>274</v>
      </c>
      <c r="B195" s="271"/>
      <c r="C195" s="252"/>
      <c r="D195" s="271">
        <v>0</v>
      </c>
      <c r="E195" s="251">
        <v>0</v>
      </c>
      <c r="F195" s="247">
        <f t="shared" si="79"/>
        <v>0</v>
      </c>
      <c r="I195" s="244"/>
      <c r="J195" s="233"/>
      <c r="K195" s="244"/>
      <c r="L195" s="233"/>
      <c r="M195" s="233">
        <f t="shared" si="71"/>
        <v>0</v>
      </c>
      <c r="O195" s="227"/>
      <c r="P195" s="216"/>
      <c r="Q195" s="227"/>
      <c r="R195" s="216"/>
      <c r="S195" s="216">
        <f t="shared" si="72"/>
        <v>0</v>
      </c>
      <c r="U195" s="210"/>
      <c r="V195" s="199"/>
      <c r="W195" s="210"/>
      <c r="X195" s="199"/>
      <c r="Y195" s="199">
        <f t="shared" si="73"/>
        <v>0</v>
      </c>
      <c r="AA195" s="192"/>
      <c r="AB195" s="181"/>
      <c r="AC195" s="192"/>
      <c r="AD195" s="181"/>
      <c r="AE195" s="181">
        <f t="shared" si="74"/>
        <v>0</v>
      </c>
      <c r="AG195" s="174"/>
      <c r="AH195" s="163"/>
      <c r="AI195" s="174"/>
      <c r="AJ195" s="163"/>
      <c r="AK195" s="163">
        <f t="shared" si="75"/>
        <v>0</v>
      </c>
      <c r="AM195" s="308">
        <v>0</v>
      </c>
      <c r="AN195" s="107">
        <v>112800</v>
      </c>
      <c r="AO195" s="18">
        <f t="shared" si="68"/>
        <v>112800</v>
      </c>
      <c r="AP195" s="308">
        <v>0</v>
      </c>
      <c r="AQ195" s="107">
        <v>112800</v>
      </c>
      <c r="AR195" s="107">
        <f t="shared" si="76"/>
        <v>112800</v>
      </c>
      <c r="AT195" s="279"/>
      <c r="AU195" s="279"/>
      <c r="AV195" s="279">
        <f t="shared" si="69"/>
        <v>0</v>
      </c>
      <c r="AW195" s="279">
        <f t="shared" si="70"/>
        <v>112800</v>
      </c>
      <c r="AX195" s="279">
        <f t="shared" si="77"/>
        <v>112800</v>
      </c>
      <c r="AY195" s="50">
        <v>112800</v>
      </c>
      <c r="AZ195" s="137">
        <f t="shared" si="78"/>
        <v>0</v>
      </c>
    </row>
    <row r="196" spans="1:52" ht="18.75">
      <c r="A196" s="43" t="s">
        <v>131</v>
      </c>
      <c r="B196" s="271"/>
      <c r="C196" s="252"/>
      <c r="D196" s="271">
        <v>27790</v>
      </c>
      <c r="E196" s="251">
        <v>0</v>
      </c>
      <c r="F196" s="247">
        <f t="shared" si="79"/>
        <v>0</v>
      </c>
      <c r="I196" s="244"/>
      <c r="J196" s="233"/>
      <c r="K196" s="244"/>
      <c r="L196" s="233"/>
      <c r="M196" s="233">
        <f t="shared" si="71"/>
        <v>0</v>
      </c>
      <c r="O196" s="227"/>
      <c r="P196" s="216"/>
      <c r="Q196" s="227"/>
      <c r="R196" s="216"/>
      <c r="S196" s="216">
        <f t="shared" si="72"/>
        <v>0</v>
      </c>
      <c r="U196" s="210"/>
      <c r="V196" s="199"/>
      <c r="W196" s="210"/>
      <c r="X196" s="199"/>
      <c r="Y196" s="199">
        <f t="shared" si="73"/>
        <v>0</v>
      </c>
      <c r="AA196" s="192"/>
      <c r="AB196" s="181"/>
      <c r="AC196" s="192">
        <v>27680</v>
      </c>
      <c r="AD196" s="181"/>
      <c r="AE196" s="181">
        <f t="shared" si="74"/>
        <v>27680</v>
      </c>
      <c r="AG196" s="174"/>
      <c r="AH196" s="163"/>
      <c r="AI196" s="174"/>
      <c r="AJ196" s="163">
        <v>134400</v>
      </c>
      <c r="AK196" s="163">
        <f t="shared" si="75"/>
        <v>134400</v>
      </c>
      <c r="AM196" s="308">
        <v>0</v>
      </c>
      <c r="AN196" s="107">
        <v>0</v>
      </c>
      <c r="AO196" s="18">
        <f t="shared" si="68"/>
        <v>0</v>
      </c>
      <c r="AP196" s="308">
        <v>0</v>
      </c>
      <c r="AQ196" s="107">
        <v>0</v>
      </c>
      <c r="AR196" s="107">
        <f t="shared" si="76"/>
        <v>0</v>
      </c>
      <c r="AT196" s="279"/>
      <c r="AU196" s="279"/>
      <c r="AV196" s="279">
        <f t="shared" si="69"/>
        <v>27680</v>
      </c>
      <c r="AW196" s="279">
        <f t="shared" si="70"/>
        <v>134400</v>
      </c>
      <c r="AX196" s="279">
        <f t="shared" si="77"/>
        <v>162080</v>
      </c>
      <c r="AY196" s="50">
        <v>27790</v>
      </c>
      <c r="AZ196" s="137">
        <f t="shared" si="78"/>
        <v>134290</v>
      </c>
    </row>
    <row r="197" spans="1:60" s="17" customFormat="1" ht="19.5" thickBot="1">
      <c r="A197" s="17" t="s">
        <v>136</v>
      </c>
      <c r="B197" s="255">
        <f>SUM(B171:B196)</f>
        <v>0</v>
      </c>
      <c r="C197" s="256">
        <f>SUM(C171:C196)</f>
        <v>0</v>
      </c>
      <c r="D197" s="255">
        <f>SUM(D171:D196)</f>
        <v>350005811.53999996</v>
      </c>
      <c r="E197" s="255">
        <f>SUM(E171:E196)</f>
        <v>57794038.79000001</v>
      </c>
      <c r="F197" s="257">
        <f>SUM(F171:F196)</f>
        <v>0</v>
      </c>
      <c r="G197" s="106"/>
      <c r="H197" s="137"/>
      <c r="I197" s="236">
        <f>SUM(I171:I196)</f>
        <v>0</v>
      </c>
      <c r="J197" s="236">
        <f>SUM(J171:J196)</f>
        <v>0</v>
      </c>
      <c r="K197" s="236">
        <f>SUM(K171:K196)</f>
        <v>67869039.72</v>
      </c>
      <c r="L197" s="236">
        <f>SUM(L171:L196)</f>
        <v>10628890</v>
      </c>
      <c r="M197" s="236">
        <f>SUM(M171:M196)</f>
        <v>78497929.71999998</v>
      </c>
      <c r="N197" s="91"/>
      <c r="O197" s="218">
        <f>SUM(O171:O196)</f>
        <v>0</v>
      </c>
      <c r="P197" s="218">
        <f>SUM(P171:P196)</f>
        <v>0</v>
      </c>
      <c r="Q197" s="218">
        <f>SUM(Q171:Q196)</f>
        <v>37384590.05</v>
      </c>
      <c r="R197" s="218">
        <f>SUM(R171:R196)</f>
        <v>2532600</v>
      </c>
      <c r="S197" s="218">
        <f>SUM(S171:S196)</f>
        <v>39917190.05</v>
      </c>
      <c r="T197" s="91"/>
      <c r="U197" s="201">
        <f>SUM(U171:U196)</f>
        <v>0</v>
      </c>
      <c r="V197" s="201">
        <f>SUM(V171:V196)</f>
        <v>0</v>
      </c>
      <c r="W197" s="201">
        <f>SUM(W171:W196)</f>
        <v>64149680.519999996</v>
      </c>
      <c r="X197" s="201">
        <f>SUM(X171:X196)</f>
        <v>9620956</v>
      </c>
      <c r="Y197" s="201">
        <f>SUM(Y171:Y196)</f>
        <v>73770636.52000001</v>
      </c>
      <c r="Z197" s="91"/>
      <c r="AA197" s="183">
        <f>SUM(AA171:AA196)</f>
        <v>0</v>
      </c>
      <c r="AB197" s="183">
        <f>SUM(AB171:AB196)</f>
        <v>0</v>
      </c>
      <c r="AC197" s="183">
        <f>SUM(AC171:AC196)</f>
        <v>54850055.98</v>
      </c>
      <c r="AD197" s="183">
        <f>SUM(AD171:AD196)</f>
        <v>8634351</v>
      </c>
      <c r="AE197" s="183">
        <f>SUM(AE171:AE196)</f>
        <v>63484406.98</v>
      </c>
      <c r="AF197" s="106"/>
      <c r="AG197" s="165">
        <f>SUM(AG171:AG196)</f>
        <v>54529980.46</v>
      </c>
      <c r="AH197" s="165">
        <f>SUM(AH171:AH196)</f>
        <v>561030</v>
      </c>
      <c r="AI197" s="165">
        <f>SUM(AI171:AI196)</f>
        <v>98538555.28</v>
      </c>
      <c r="AJ197" s="165">
        <f>SUM(AJ171:AJ196)</f>
        <v>19123499.89</v>
      </c>
      <c r="AK197" s="165">
        <f>SUM(AK171:AK196)</f>
        <v>117662055.17</v>
      </c>
      <c r="AL197" s="91"/>
      <c r="AM197" s="300">
        <f aca="true" t="shared" si="80" ref="AM197:AR197">SUM(AM171:AM196)</f>
        <v>67375045.75</v>
      </c>
      <c r="AN197" s="300">
        <f t="shared" si="80"/>
        <v>7441813.5</v>
      </c>
      <c r="AO197" s="300">
        <f t="shared" si="80"/>
        <v>74816859.25</v>
      </c>
      <c r="AP197" s="300">
        <f t="shared" si="80"/>
        <v>73597476.86999999</v>
      </c>
      <c r="AQ197" s="300">
        <f t="shared" si="80"/>
        <v>7039415</v>
      </c>
      <c r="AR197" s="300">
        <f t="shared" si="80"/>
        <v>80636891.86999999</v>
      </c>
      <c r="AS197" s="91"/>
      <c r="AT197" s="281">
        <f>SUM(AT171:AT196)</f>
        <v>0</v>
      </c>
      <c r="AU197" s="281">
        <f>SUM(AU171:AU196)</f>
        <v>0</v>
      </c>
      <c r="AV197" s="281">
        <f>SUM(AV171:AV196)</f>
        <v>396389398.4200001</v>
      </c>
      <c r="AW197" s="281">
        <f>SUM(AW171:AW196)</f>
        <v>57579711.89</v>
      </c>
      <c r="AX197" s="281">
        <f>SUM(AX171:AX196)</f>
        <v>453969110.31000006</v>
      </c>
      <c r="AY197" s="91"/>
      <c r="AZ197" s="144"/>
      <c r="BA197" s="91"/>
      <c r="BB197" s="91"/>
      <c r="BC197" s="91"/>
      <c r="BD197" s="91"/>
      <c r="BE197" s="91"/>
      <c r="BF197" s="91"/>
      <c r="BG197" s="91"/>
      <c r="BH197" s="91"/>
    </row>
    <row r="198" spans="2:60" s="17" customFormat="1" ht="19.5" thickTop="1">
      <c r="B198" s="247"/>
      <c r="C198" s="247"/>
      <c r="D198" s="247"/>
      <c r="E198" s="247"/>
      <c r="F198" s="247"/>
      <c r="G198" s="106"/>
      <c r="H198" s="137"/>
      <c r="I198" s="231"/>
      <c r="J198" s="231"/>
      <c r="K198" s="231"/>
      <c r="L198" s="231"/>
      <c r="M198" s="231"/>
      <c r="N198" s="91"/>
      <c r="O198" s="214"/>
      <c r="P198" s="214"/>
      <c r="Q198" s="214"/>
      <c r="R198" s="214"/>
      <c r="S198" s="214"/>
      <c r="T198" s="91"/>
      <c r="U198" s="197"/>
      <c r="V198" s="197"/>
      <c r="W198" s="197"/>
      <c r="X198" s="197"/>
      <c r="Y198" s="197"/>
      <c r="Z198" s="91"/>
      <c r="AA198" s="179"/>
      <c r="AB198" s="179"/>
      <c r="AC198" s="179"/>
      <c r="AD198" s="179"/>
      <c r="AE198" s="179"/>
      <c r="AF198" s="106"/>
      <c r="AG198" s="161"/>
      <c r="AH198" s="161"/>
      <c r="AI198" s="161"/>
      <c r="AJ198" s="161"/>
      <c r="AK198" s="161"/>
      <c r="AL198" s="91"/>
      <c r="AM198" s="106"/>
      <c r="AN198" s="106"/>
      <c r="AO198" s="106"/>
      <c r="AP198" s="106"/>
      <c r="AQ198" s="106"/>
      <c r="AR198" s="106"/>
      <c r="AS198" s="91"/>
      <c r="AT198" s="277"/>
      <c r="AU198" s="277"/>
      <c r="AV198" s="277"/>
      <c r="AW198" s="277"/>
      <c r="AX198" s="277"/>
      <c r="AY198" s="91"/>
      <c r="AZ198" s="144"/>
      <c r="BA198" s="91"/>
      <c r="BB198" s="91"/>
      <c r="BC198" s="91"/>
      <c r="BD198" s="91"/>
      <c r="BE198" s="91"/>
      <c r="BF198" s="91"/>
      <c r="BG198" s="91"/>
      <c r="BH198" s="91"/>
    </row>
    <row r="199" spans="2:60" s="17" customFormat="1" ht="18.75">
      <c r="B199" s="247"/>
      <c r="C199" s="247"/>
      <c r="D199" s="247"/>
      <c r="E199" s="247"/>
      <c r="F199" s="247"/>
      <c r="G199" s="106"/>
      <c r="H199" s="137"/>
      <c r="I199" s="231"/>
      <c r="J199" s="231"/>
      <c r="K199" s="231"/>
      <c r="L199" s="231"/>
      <c r="M199" s="231"/>
      <c r="N199" s="91"/>
      <c r="O199" s="214"/>
      <c r="P199" s="214"/>
      <c r="Q199" s="214"/>
      <c r="R199" s="214"/>
      <c r="S199" s="214"/>
      <c r="T199" s="91"/>
      <c r="U199" s="197"/>
      <c r="V199" s="197"/>
      <c r="W199" s="197"/>
      <c r="X199" s="197"/>
      <c r="Y199" s="197"/>
      <c r="Z199" s="91"/>
      <c r="AA199" s="179"/>
      <c r="AB199" s="179"/>
      <c r="AC199" s="179"/>
      <c r="AD199" s="179"/>
      <c r="AE199" s="179"/>
      <c r="AF199" s="106"/>
      <c r="AG199" s="161"/>
      <c r="AH199" s="161"/>
      <c r="AI199" s="161"/>
      <c r="AJ199" s="161"/>
      <c r="AK199" s="161"/>
      <c r="AL199" s="91"/>
      <c r="AM199" s="106"/>
      <c r="AN199" s="106"/>
      <c r="AO199" s="106"/>
      <c r="AP199" s="106"/>
      <c r="AQ199" s="106"/>
      <c r="AR199" s="106"/>
      <c r="AS199" s="91"/>
      <c r="AT199" s="277"/>
      <c r="AU199" s="277"/>
      <c r="AV199" s="277"/>
      <c r="AW199" s="277"/>
      <c r="AX199" s="277"/>
      <c r="AY199" s="91"/>
      <c r="AZ199" s="144"/>
      <c r="BA199" s="91"/>
      <c r="BB199" s="91"/>
      <c r="BC199" s="91"/>
      <c r="BD199" s="91"/>
      <c r="BE199" s="91"/>
      <c r="BF199" s="91"/>
      <c r="BG199" s="91"/>
      <c r="BH199" s="91"/>
    </row>
    <row r="200" spans="2:60" s="17" customFormat="1" ht="18.75">
      <c r="B200" s="247"/>
      <c r="C200" s="247"/>
      <c r="D200" s="247"/>
      <c r="E200" s="247"/>
      <c r="F200" s="247"/>
      <c r="G200" s="106"/>
      <c r="H200" s="137"/>
      <c r="I200" s="231"/>
      <c r="J200" s="231"/>
      <c r="K200" s="231"/>
      <c r="L200" s="231"/>
      <c r="M200" s="231"/>
      <c r="N200" s="91"/>
      <c r="O200" s="214"/>
      <c r="P200" s="214"/>
      <c r="Q200" s="214"/>
      <c r="R200" s="214"/>
      <c r="S200" s="214"/>
      <c r="T200" s="91"/>
      <c r="U200" s="197"/>
      <c r="V200" s="197"/>
      <c r="W200" s="197"/>
      <c r="X200" s="197"/>
      <c r="Y200" s="197"/>
      <c r="Z200" s="91"/>
      <c r="AA200" s="179"/>
      <c r="AB200" s="179"/>
      <c r="AC200" s="179"/>
      <c r="AD200" s="179"/>
      <c r="AE200" s="179"/>
      <c r="AF200" s="106"/>
      <c r="AG200" s="161"/>
      <c r="AH200" s="161"/>
      <c r="AI200" s="161"/>
      <c r="AJ200" s="161"/>
      <c r="AK200" s="161"/>
      <c r="AL200" s="91"/>
      <c r="AM200" s="106"/>
      <c r="AN200" s="106"/>
      <c r="AO200" s="106"/>
      <c r="AP200" s="106"/>
      <c r="AQ200" s="106"/>
      <c r="AR200" s="106"/>
      <c r="AS200" s="91"/>
      <c r="AT200" s="277"/>
      <c r="AU200" s="277"/>
      <c r="AV200" s="277"/>
      <c r="AW200" s="277"/>
      <c r="AX200" s="277"/>
      <c r="AY200" s="91"/>
      <c r="AZ200" s="144"/>
      <c r="BA200" s="91"/>
      <c r="BB200" s="91"/>
      <c r="BC200" s="91"/>
      <c r="BD200" s="91"/>
      <c r="BE200" s="91"/>
      <c r="BF200" s="91"/>
      <c r="BG200" s="91"/>
      <c r="BH200" s="91"/>
    </row>
    <row r="201" spans="2:60" s="17" customFormat="1" ht="18.75">
      <c r="B201" s="247"/>
      <c r="C201" s="247"/>
      <c r="D201" s="247"/>
      <c r="E201" s="247"/>
      <c r="F201" s="247"/>
      <c r="G201" s="106"/>
      <c r="H201" s="137"/>
      <c r="I201" s="231"/>
      <c r="J201" s="231"/>
      <c r="K201" s="231"/>
      <c r="L201" s="231"/>
      <c r="M201" s="231"/>
      <c r="N201" s="91"/>
      <c r="O201" s="214"/>
      <c r="P201" s="214"/>
      <c r="Q201" s="214"/>
      <c r="R201" s="214"/>
      <c r="S201" s="214"/>
      <c r="T201" s="91"/>
      <c r="U201" s="197"/>
      <c r="V201" s="197"/>
      <c r="W201" s="197"/>
      <c r="X201" s="197"/>
      <c r="Y201" s="197"/>
      <c r="Z201" s="91"/>
      <c r="AA201" s="179"/>
      <c r="AB201" s="179"/>
      <c r="AC201" s="179"/>
      <c r="AD201" s="179"/>
      <c r="AE201" s="179"/>
      <c r="AF201" s="106"/>
      <c r="AG201" s="161"/>
      <c r="AH201" s="161"/>
      <c r="AI201" s="161"/>
      <c r="AJ201" s="161"/>
      <c r="AK201" s="161"/>
      <c r="AL201" s="91"/>
      <c r="AM201" s="106"/>
      <c r="AN201" s="106"/>
      <c r="AO201" s="106"/>
      <c r="AP201" s="106"/>
      <c r="AQ201" s="106"/>
      <c r="AR201" s="106"/>
      <c r="AS201" s="91"/>
      <c r="AT201" s="277"/>
      <c r="AU201" s="277"/>
      <c r="AV201" s="277"/>
      <c r="AW201" s="277"/>
      <c r="AX201" s="277"/>
      <c r="AY201" s="91"/>
      <c r="AZ201" s="144"/>
      <c r="BA201" s="91"/>
      <c r="BB201" s="91"/>
      <c r="BC201" s="91"/>
      <c r="BD201" s="91"/>
      <c r="BE201" s="91"/>
      <c r="BF201" s="91"/>
      <c r="BG201" s="91"/>
      <c r="BH201" s="91"/>
    </row>
    <row r="202" spans="1:50" ht="18.75">
      <c r="A202" s="51" t="s">
        <v>475</v>
      </c>
      <c r="B202" s="248" t="s">
        <v>56</v>
      </c>
      <c r="C202" s="249" t="s">
        <v>57</v>
      </c>
      <c r="D202" s="248" t="s">
        <v>56</v>
      </c>
      <c r="E202" s="248" t="s">
        <v>57</v>
      </c>
      <c r="F202" s="250"/>
      <c r="G202" s="97"/>
      <c r="I202" s="232" t="s">
        <v>56</v>
      </c>
      <c r="J202" s="232" t="s">
        <v>57</v>
      </c>
      <c r="K202" s="232" t="s">
        <v>56</v>
      </c>
      <c r="L202" s="232" t="s">
        <v>57</v>
      </c>
      <c r="M202" s="232" t="s">
        <v>101</v>
      </c>
      <c r="O202" s="215" t="s">
        <v>56</v>
      </c>
      <c r="P202" s="215" t="s">
        <v>57</v>
      </c>
      <c r="Q202" s="215" t="s">
        <v>56</v>
      </c>
      <c r="R202" s="215" t="s">
        <v>57</v>
      </c>
      <c r="S202" s="215" t="s">
        <v>101</v>
      </c>
      <c r="U202" s="198" t="s">
        <v>56</v>
      </c>
      <c r="V202" s="198" t="s">
        <v>57</v>
      </c>
      <c r="W202" s="198" t="s">
        <v>56</v>
      </c>
      <c r="X202" s="198" t="s">
        <v>57</v>
      </c>
      <c r="Y202" s="198" t="s">
        <v>101</v>
      </c>
      <c r="AA202" s="180" t="s">
        <v>56</v>
      </c>
      <c r="AB202" s="180" t="s">
        <v>57</v>
      </c>
      <c r="AC202" s="180" t="s">
        <v>56</v>
      </c>
      <c r="AD202" s="180" t="s">
        <v>57</v>
      </c>
      <c r="AE202" s="180" t="s">
        <v>101</v>
      </c>
      <c r="AF202" s="97"/>
      <c r="AG202" s="162" t="s">
        <v>56</v>
      </c>
      <c r="AH202" s="162" t="s">
        <v>57</v>
      </c>
      <c r="AI202" s="162" t="s">
        <v>56</v>
      </c>
      <c r="AJ202" s="162" t="s">
        <v>57</v>
      </c>
      <c r="AK202" s="162" t="s">
        <v>101</v>
      </c>
      <c r="AM202" s="18" t="s">
        <v>56</v>
      </c>
      <c r="AN202" s="18" t="s">
        <v>57</v>
      </c>
      <c r="AO202" s="18" t="s">
        <v>101</v>
      </c>
      <c r="AP202" s="18" t="s">
        <v>56</v>
      </c>
      <c r="AQ202" s="18" t="s">
        <v>57</v>
      </c>
      <c r="AR202" s="18" t="s">
        <v>101</v>
      </c>
      <c r="AT202" s="278" t="s">
        <v>56</v>
      </c>
      <c r="AU202" s="278" t="s">
        <v>57</v>
      </c>
      <c r="AV202" s="278" t="s">
        <v>56</v>
      </c>
      <c r="AW202" s="278" t="s">
        <v>57</v>
      </c>
      <c r="AX202" s="278" t="s">
        <v>101</v>
      </c>
    </row>
    <row r="203" spans="1:52" ht="18.75">
      <c r="A203" s="43" t="s">
        <v>134</v>
      </c>
      <c r="B203" s="271"/>
      <c r="C203" s="252"/>
      <c r="D203" s="271">
        <v>1109980</v>
      </c>
      <c r="E203" s="251">
        <v>0</v>
      </c>
      <c r="F203" s="247">
        <f>SUM(B203:C203)</f>
        <v>0</v>
      </c>
      <c r="I203" s="244"/>
      <c r="J203" s="233"/>
      <c r="K203" s="244">
        <v>24510</v>
      </c>
      <c r="L203" s="233"/>
      <c r="M203" s="233">
        <f>SUM(K203:L203)</f>
        <v>24510</v>
      </c>
      <c r="O203" s="227"/>
      <c r="P203" s="216"/>
      <c r="Q203" s="227"/>
      <c r="R203" s="216"/>
      <c r="S203" s="216">
        <f>SUM(Q203:R203)</f>
        <v>0</v>
      </c>
      <c r="U203" s="210"/>
      <c r="V203" s="199"/>
      <c r="W203" s="210"/>
      <c r="X203" s="199"/>
      <c r="Y203" s="199">
        <f>SUM(W203:X203)</f>
        <v>0</v>
      </c>
      <c r="AA203" s="192"/>
      <c r="AB203" s="181"/>
      <c r="AC203" s="192">
        <v>49020</v>
      </c>
      <c r="AD203" s="181"/>
      <c r="AE203" s="181">
        <f>SUM(AC203:AD203)</f>
        <v>49020</v>
      </c>
      <c r="AG203" s="174"/>
      <c r="AH203" s="163"/>
      <c r="AI203" s="174">
        <v>70383.6</v>
      </c>
      <c r="AJ203" s="163"/>
      <c r="AK203" s="163">
        <f>SUM(AI203:AJ203)</f>
        <v>70383.6</v>
      </c>
      <c r="AM203" s="308"/>
      <c r="AN203" s="107">
        <v>0</v>
      </c>
      <c r="AO203" s="18">
        <f aca="true" t="shared" si="81" ref="AO203:AO215">SUM(AM203:AN203)</f>
        <v>0</v>
      </c>
      <c r="AP203" s="308">
        <v>0</v>
      </c>
      <c r="AQ203" s="107">
        <v>0</v>
      </c>
      <c r="AR203" s="107">
        <f>SUM(AP203:AQ203)</f>
        <v>0</v>
      </c>
      <c r="AT203" s="279"/>
      <c r="AU203" s="279"/>
      <c r="AV203" s="279">
        <f aca="true" t="shared" si="82" ref="AV203:AV215">+B203+K203+Q203+W203+AC203+AI203+AP203</f>
        <v>143913.6</v>
      </c>
      <c r="AW203" s="279">
        <f aca="true" t="shared" si="83" ref="AW203:AW215">+C203+L203+R203+X203+AD203+AJ203+AQ203</f>
        <v>0</v>
      </c>
      <c r="AX203" s="279">
        <f>SUM(AV203:AW203)</f>
        <v>143913.6</v>
      </c>
      <c r="AY203" s="50">
        <v>1183510</v>
      </c>
      <c r="AZ203" s="137">
        <f>+AX203-AY203</f>
        <v>-1039596.4</v>
      </c>
    </row>
    <row r="204" spans="1:52" ht="18.75">
      <c r="A204" s="62" t="s">
        <v>135</v>
      </c>
      <c r="B204" s="271"/>
      <c r="C204" s="252"/>
      <c r="D204" s="271">
        <v>6315796.1</v>
      </c>
      <c r="E204" s="251">
        <v>0</v>
      </c>
      <c r="F204" s="247">
        <f aca="true" t="shared" si="84" ref="F204:F215">SUM(B204:C204)</f>
        <v>0</v>
      </c>
      <c r="I204" s="244"/>
      <c r="J204" s="233"/>
      <c r="K204" s="244"/>
      <c r="L204" s="233"/>
      <c r="M204" s="233">
        <f aca="true" t="shared" si="85" ref="M204:M215">SUM(K204:L204)</f>
        <v>0</v>
      </c>
      <c r="O204" s="227"/>
      <c r="P204" s="216"/>
      <c r="Q204" s="227"/>
      <c r="R204" s="216"/>
      <c r="S204" s="216">
        <f aca="true" t="shared" si="86" ref="S204:S215">SUM(Q204:R204)</f>
        <v>0</v>
      </c>
      <c r="U204" s="210"/>
      <c r="V204" s="199"/>
      <c r="W204" s="210"/>
      <c r="X204" s="199"/>
      <c r="Y204" s="199">
        <f aca="true" t="shared" si="87" ref="Y204:Y215">SUM(W204:X204)</f>
        <v>0</v>
      </c>
      <c r="AA204" s="192"/>
      <c r="AB204" s="181"/>
      <c r="AC204" s="192"/>
      <c r="AD204" s="181"/>
      <c r="AE204" s="181">
        <f aca="true" t="shared" si="88" ref="AE204:AE215">SUM(AC204:AD204)</f>
        <v>0</v>
      </c>
      <c r="AG204" s="174"/>
      <c r="AH204" s="163"/>
      <c r="AI204" s="174"/>
      <c r="AJ204" s="163"/>
      <c r="AK204" s="163">
        <f aca="true" t="shared" si="89" ref="AK204:AK215">SUM(AI204:AJ204)</f>
        <v>0</v>
      </c>
      <c r="AM204" s="308"/>
      <c r="AN204" s="107">
        <v>0</v>
      </c>
      <c r="AO204" s="18">
        <f t="shared" si="81"/>
        <v>0</v>
      </c>
      <c r="AP204" s="308">
        <v>0</v>
      </c>
      <c r="AQ204" s="107">
        <v>0</v>
      </c>
      <c r="AR204" s="107">
        <f aca="true" t="shared" si="90" ref="AR204:AR215">SUM(AP204:AQ204)</f>
        <v>0</v>
      </c>
      <c r="AT204" s="279"/>
      <c r="AU204" s="279"/>
      <c r="AV204" s="279">
        <f t="shared" si="82"/>
        <v>0</v>
      </c>
      <c r="AW204" s="279">
        <f t="shared" si="83"/>
        <v>0</v>
      </c>
      <c r="AX204" s="279">
        <f>SUM(AV204:AW204)</f>
        <v>0</v>
      </c>
      <c r="AY204" s="50">
        <v>6315796.1</v>
      </c>
      <c r="AZ204" s="137">
        <f aca="true" t="shared" si="91" ref="AZ204:AZ215">+AX204-AY204</f>
        <v>-6315796.1</v>
      </c>
    </row>
    <row r="205" spans="1:52" ht="18.75">
      <c r="A205" s="43" t="s">
        <v>221</v>
      </c>
      <c r="B205" s="271"/>
      <c r="C205" s="252"/>
      <c r="D205" s="271">
        <v>8073691.35</v>
      </c>
      <c r="E205" s="251">
        <v>0</v>
      </c>
      <c r="F205" s="247">
        <f t="shared" si="84"/>
        <v>0</v>
      </c>
      <c r="I205" s="244"/>
      <c r="J205" s="233"/>
      <c r="K205" s="244"/>
      <c r="L205" s="233"/>
      <c r="M205" s="233">
        <f t="shared" si="85"/>
        <v>0</v>
      </c>
      <c r="O205" s="227"/>
      <c r="P205" s="216"/>
      <c r="Q205" s="227"/>
      <c r="R205" s="216"/>
      <c r="S205" s="216">
        <f t="shared" si="86"/>
        <v>0</v>
      </c>
      <c r="U205" s="210"/>
      <c r="V205" s="199"/>
      <c r="W205" s="210"/>
      <c r="X205" s="199"/>
      <c r="Y205" s="199">
        <f t="shared" si="87"/>
        <v>0</v>
      </c>
      <c r="AA205" s="192"/>
      <c r="AB205" s="181"/>
      <c r="AC205" s="192"/>
      <c r="AD205" s="181"/>
      <c r="AE205" s="181">
        <f t="shared" si="88"/>
        <v>0</v>
      </c>
      <c r="AG205" s="174"/>
      <c r="AH205" s="163"/>
      <c r="AI205" s="174"/>
      <c r="AJ205" s="163"/>
      <c r="AK205" s="163">
        <f t="shared" si="89"/>
        <v>0</v>
      </c>
      <c r="AM205" s="308"/>
      <c r="AN205" s="107">
        <v>0</v>
      </c>
      <c r="AO205" s="18">
        <f t="shared" si="81"/>
        <v>0</v>
      </c>
      <c r="AP205" s="308">
        <v>0</v>
      </c>
      <c r="AQ205" s="107">
        <v>0</v>
      </c>
      <c r="AR205" s="107">
        <f t="shared" si="90"/>
        <v>0</v>
      </c>
      <c r="AT205" s="279"/>
      <c r="AU205" s="279"/>
      <c r="AV205" s="279">
        <f t="shared" si="82"/>
        <v>0</v>
      </c>
      <c r="AW205" s="279">
        <f t="shared" si="83"/>
        <v>0</v>
      </c>
      <c r="AX205" s="279">
        <f aca="true" t="shared" si="92" ref="AX205:AX215">SUM(AV205:AW205)</f>
        <v>0</v>
      </c>
      <c r="AY205" s="50">
        <v>8073691.35</v>
      </c>
      <c r="AZ205" s="137">
        <f t="shared" si="91"/>
        <v>-8073691.35</v>
      </c>
    </row>
    <row r="206" spans="1:52" ht="18.75">
      <c r="A206" s="82" t="s">
        <v>133</v>
      </c>
      <c r="B206" s="271"/>
      <c r="C206" s="252"/>
      <c r="D206" s="271">
        <v>111559857.53</v>
      </c>
      <c r="E206" s="251">
        <v>0</v>
      </c>
      <c r="F206" s="247">
        <f t="shared" si="84"/>
        <v>0</v>
      </c>
      <c r="I206" s="244"/>
      <c r="J206" s="233"/>
      <c r="K206" s="244"/>
      <c r="L206" s="233"/>
      <c r="M206" s="233">
        <f t="shared" si="85"/>
        <v>0</v>
      </c>
      <c r="O206" s="227"/>
      <c r="P206" s="216"/>
      <c r="Q206" s="227"/>
      <c r="R206" s="216"/>
      <c r="S206" s="216">
        <f t="shared" si="86"/>
        <v>0</v>
      </c>
      <c r="U206" s="210"/>
      <c r="V206" s="199"/>
      <c r="W206" s="210"/>
      <c r="X206" s="199"/>
      <c r="Y206" s="199">
        <f t="shared" si="87"/>
        <v>0</v>
      </c>
      <c r="AA206" s="192"/>
      <c r="AB206" s="181"/>
      <c r="AC206" s="192"/>
      <c r="AD206" s="181"/>
      <c r="AE206" s="181">
        <f t="shared" si="88"/>
        <v>0</v>
      </c>
      <c r="AG206" s="174"/>
      <c r="AH206" s="163"/>
      <c r="AI206" s="174"/>
      <c r="AJ206" s="163"/>
      <c r="AK206" s="163">
        <f t="shared" si="89"/>
        <v>0</v>
      </c>
      <c r="AM206" s="308"/>
      <c r="AN206" s="107">
        <v>0</v>
      </c>
      <c r="AO206" s="18">
        <f t="shared" si="81"/>
        <v>0</v>
      </c>
      <c r="AP206" s="308">
        <v>0</v>
      </c>
      <c r="AQ206" s="107">
        <v>0</v>
      </c>
      <c r="AR206" s="107">
        <f t="shared" si="90"/>
        <v>0</v>
      </c>
      <c r="AT206" s="279"/>
      <c r="AU206" s="279"/>
      <c r="AV206" s="279">
        <f t="shared" si="82"/>
        <v>0</v>
      </c>
      <c r="AW206" s="279">
        <f t="shared" si="83"/>
        <v>0</v>
      </c>
      <c r="AX206" s="279">
        <f t="shared" si="92"/>
        <v>0</v>
      </c>
      <c r="AY206" s="50">
        <v>111559857.53</v>
      </c>
      <c r="AZ206" s="137">
        <f t="shared" si="91"/>
        <v>-111559857.53</v>
      </c>
    </row>
    <row r="207" spans="1:52" ht="18.75">
      <c r="A207" s="82" t="s">
        <v>220</v>
      </c>
      <c r="B207" s="271"/>
      <c r="C207" s="252"/>
      <c r="D207" s="271">
        <v>4850.4</v>
      </c>
      <c r="E207" s="251">
        <v>0</v>
      </c>
      <c r="F207" s="247">
        <f t="shared" si="84"/>
        <v>0</v>
      </c>
      <c r="I207" s="244"/>
      <c r="J207" s="233"/>
      <c r="K207" s="244"/>
      <c r="L207" s="233"/>
      <c r="M207" s="233">
        <f t="shared" si="85"/>
        <v>0</v>
      </c>
      <c r="O207" s="227"/>
      <c r="P207" s="216"/>
      <c r="Q207" s="227"/>
      <c r="R207" s="216"/>
      <c r="S207" s="216">
        <f t="shared" si="86"/>
        <v>0</v>
      </c>
      <c r="U207" s="210"/>
      <c r="V207" s="199"/>
      <c r="W207" s="210"/>
      <c r="X207" s="199"/>
      <c r="Y207" s="199">
        <f t="shared" si="87"/>
        <v>0</v>
      </c>
      <c r="AA207" s="192"/>
      <c r="AB207" s="181"/>
      <c r="AC207" s="192"/>
      <c r="AD207" s="181"/>
      <c r="AE207" s="181">
        <f t="shared" si="88"/>
        <v>0</v>
      </c>
      <c r="AG207" s="174"/>
      <c r="AH207" s="163"/>
      <c r="AI207" s="174"/>
      <c r="AJ207" s="163"/>
      <c r="AK207" s="163">
        <f t="shared" si="89"/>
        <v>0</v>
      </c>
      <c r="AM207" s="308"/>
      <c r="AN207" s="107">
        <v>0</v>
      </c>
      <c r="AO207" s="18">
        <f t="shared" si="81"/>
        <v>0</v>
      </c>
      <c r="AP207" s="308">
        <v>0</v>
      </c>
      <c r="AQ207" s="107">
        <v>0</v>
      </c>
      <c r="AR207" s="107">
        <f t="shared" si="90"/>
        <v>0</v>
      </c>
      <c r="AT207" s="279"/>
      <c r="AU207" s="279"/>
      <c r="AV207" s="279">
        <f t="shared" si="82"/>
        <v>0</v>
      </c>
      <c r="AW207" s="279">
        <f t="shared" si="83"/>
        <v>0</v>
      </c>
      <c r="AX207" s="279">
        <f t="shared" si="92"/>
        <v>0</v>
      </c>
      <c r="AY207" s="50">
        <v>4850.4</v>
      </c>
      <c r="AZ207" s="137">
        <f t="shared" si="91"/>
        <v>-4850.4</v>
      </c>
    </row>
    <row r="208" spans="1:52" ht="18.75">
      <c r="A208" s="82" t="s">
        <v>239</v>
      </c>
      <c r="B208" s="271"/>
      <c r="C208" s="252"/>
      <c r="D208" s="271">
        <v>337113.6</v>
      </c>
      <c r="E208" s="251">
        <v>0</v>
      </c>
      <c r="F208" s="247">
        <f t="shared" si="84"/>
        <v>0</v>
      </c>
      <c r="I208" s="244"/>
      <c r="J208" s="233"/>
      <c r="K208" s="244"/>
      <c r="L208" s="233"/>
      <c r="M208" s="233">
        <f t="shared" si="85"/>
        <v>0</v>
      </c>
      <c r="O208" s="227"/>
      <c r="P208" s="216"/>
      <c r="Q208" s="227"/>
      <c r="R208" s="216"/>
      <c r="S208" s="216">
        <f t="shared" si="86"/>
        <v>0</v>
      </c>
      <c r="U208" s="210"/>
      <c r="V208" s="199"/>
      <c r="W208" s="210"/>
      <c r="X208" s="199"/>
      <c r="Y208" s="199">
        <f t="shared" si="87"/>
        <v>0</v>
      </c>
      <c r="AA208" s="192"/>
      <c r="AB208" s="181"/>
      <c r="AC208" s="192"/>
      <c r="AD208" s="181"/>
      <c r="AE208" s="181">
        <f t="shared" si="88"/>
        <v>0</v>
      </c>
      <c r="AG208" s="174"/>
      <c r="AH208" s="163"/>
      <c r="AI208" s="174"/>
      <c r="AJ208" s="163"/>
      <c r="AK208" s="163">
        <f t="shared" si="89"/>
        <v>0</v>
      </c>
      <c r="AM208" s="308"/>
      <c r="AN208" s="107">
        <v>0</v>
      </c>
      <c r="AO208" s="18">
        <f t="shared" si="81"/>
        <v>0</v>
      </c>
      <c r="AP208" s="308">
        <v>0</v>
      </c>
      <c r="AQ208" s="107">
        <v>0</v>
      </c>
      <c r="AR208" s="107">
        <f t="shared" si="90"/>
        <v>0</v>
      </c>
      <c r="AT208" s="279"/>
      <c r="AU208" s="279"/>
      <c r="AV208" s="279">
        <f t="shared" si="82"/>
        <v>0</v>
      </c>
      <c r="AW208" s="279">
        <f t="shared" si="83"/>
        <v>0</v>
      </c>
      <c r="AX208" s="279">
        <f t="shared" si="92"/>
        <v>0</v>
      </c>
      <c r="AY208" s="50">
        <v>337113.6</v>
      </c>
      <c r="AZ208" s="137">
        <f t="shared" si="91"/>
        <v>-337113.6</v>
      </c>
    </row>
    <row r="209" spans="1:52" ht="18.75">
      <c r="A209" s="82" t="s">
        <v>240</v>
      </c>
      <c r="B209" s="271"/>
      <c r="C209" s="252"/>
      <c r="D209" s="271">
        <v>10896348.12</v>
      </c>
      <c r="E209" s="251">
        <v>0</v>
      </c>
      <c r="F209" s="247">
        <f t="shared" si="84"/>
        <v>0</v>
      </c>
      <c r="I209" s="244"/>
      <c r="J209" s="233"/>
      <c r="K209" s="244"/>
      <c r="L209" s="233"/>
      <c r="M209" s="233">
        <f t="shared" si="85"/>
        <v>0</v>
      </c>
      <c r="O209" s="227"/>
      <c r="P209" s="216"/>
      <c r="Q209" s="227"/>
      <c r="R209" s="216"/>
      <c r="S209" s="216">
        <f t="shared" si="86"/>
        <v>0</v>
      </c>
      <c r="U209" s="210"/>
      <c r="V209" s="199"/>
      <c r="W209" s="210"/>
      <c r="X209" s="199"/>
      <c r="Y209" s="199">
        <f t="shared" si="87"/>
        <v>0</v>
      </c>
      <c r="AA209" s="192"/>
      <c r="AB209" s="181"/>
      <c r="AC209" s="192"/>
      <c r="AD209" s="181"/>
      <c r="AE209" s="181">
        <f t="shared" si="88"/>
        <v>0</v>
      </c>
      <c r="AG209" s="174"/>
      <c r="AH209" s="163"/>
      <c r="AI209" s="174"/>
      <c r="AJ209" s="163"/>
      <c r="AK209" s="163">
        <f t="shared" si="89"/>
        <v>0</v>
      </c>
      <c r="AM209" s="308"/>
      <c r="AN209" s="107">
        <v>0</v>
      </c>
      <c r="AO209" s="18">
        <f t="shared" si="81"/>
        <v>0</v>
      </c>
      <c r="AP209" s="308">
        <v>0</v>
      </c>
      <c r="AQ209" s="107">
        <v>0</v>
      </c>
      <c r="AR209" s="107">
        <f t="shared" si="90"/>
        <v>0</v>
      </c>
      <c r="AT209" s="279"/>
      <c r="AU209" s="279"/>
      <c r="AV209" s="279">
        <f t="shared" si="82"/>
        <v>0</v>
      </c>
      <c r="AW209" s="279">
        <f t="shared" si="83"/>
        <v>0</v>
      </c>
      <c r="AX209" s="279">
        <f t="shared" si="92"/>
        <v>0</v>
      </c>
      <c r="AY209" s="50">
        <v>10896348.12</v>
      </c>
      <c r="AZ209" s="137">
        <f t="shared" si="91"/>
        <v>-10896348.12</v>
      </c>
    </row>
    <row r="210" spans="1:52" ht="18.75">
      <c r="A210" s="43" t="s">
        <v>281</v>
      </c>
      <c r="B210" s="271"/>
      <c r="C210" s="252"/>
      <c r="D210" s="271">
        <v>180120</v>
      </c>
      <c r="E210" s="251">
        <v>0</v>
      </c>
      <c r="F210" s="247">
        <f t="shared" si="84"/>
        <v>0</v>
      </c>
      <c r="I210" s="244"/>
      <c r="J210" s="233"/>
      <c r="K210" s="244"/>
      <c r="L210" s="233"/>
      <c r="M210" s="233">
        <f t="shared" si="85"/>
        <v>0</v>
      </c>
      <c r="O210" s="227"/>
      <c r="P210" s="216"/>
      <c r="Q210" s="227"/>
      <c r="R210" s="216"/>
      <c r="S210" s="216">
        <f t="shared" si="86"/>
        <v>0</v>
      </c>
      <c r="U210" s="210"/>
      <c r="V210" s="199"/>
      <c r="W210" s="210"/>
      <c r="X210" s="199"/>
      <c r="Y210" s="199">
        <f t="shared" si="87"/>
        <v>0</v>
      </c>
      <c r="AA210" s="192"/>
      <c r="AB210" s="181"/>
      <c r="AC210" s="192"/>
      <c r="AD210" s="181"/>
      <c r="AE210" s="181">
        <f t="shared" si="88"/>
        <v>0</v>
      </c>
      <c r="AG210" s="174"/>
      <c r="AH210" s="163"/>
      <c r="AI210" s="174"/>
      <c r="AJ210" s="163"/>
      <c r="AK210" s="163">
        <f t="shared" si="89"/>
        <v>0</v>
      </c>
      <c r="AM210" s="308"/>
      <c r="AN210" s="107">
        <v>0</v>
      </c>
      <c r="AO210" s="18">
        <f t="shared" si="81"/>
        <v>0</v>
      </c>
      <c r="AP210" s="308">
        <v>198741</v>
      </c>
      <c r="AQ210" s="107">
        <v>0</v>
      </c>
      <c r="AR210" s="107">
        <f t="shared" si="90"/>
        <v>198741</v>
      </c>
      <c r="AT210" s="279"/>
      <c r="AU210" s="279"/>
      <c r="AV210" s="279">
        <f t="shared" si="82"/>
        <v>198741</v>
      </c>
      <c r="AW210" s="279">
        <f t="shared" si="83"/>
        <v>0</v>
      </c>
      <c r="AX210" s="279">
        <f t="shared" si="92"/>
        <v>198741</v>
      </c>
      <c r="AY210" s="50">
        <v>449244.6</v>
      </c>
      <c r="AZ210" s="137">
        <f t="shared" si="91"/>
        <v>-250503.59999999998</v>
      </c>
    </row>
    <row r="211" spans="1:52" ht="18.75">
      <c r="A211" s="43" t="s">
        <v>241</v>
      </c>
      <c r="B211" s="271"/>
      <c r="C211" s="252"/>
      <c r="D211" s="271">
        <v>15244148.87</v>
      </c>
      <c r="E211" s="251">
        <v>0</v>
      </c>
      <c r="F211" s="247">
        <f t="shared" si="84"/>
        <v>0</v>
      </c>
      <c r="I211" s="244"/>
      <c r="J211" s="233"/>
      <c r="K211" s="244"/>
      <c r="L211" s="233"/>
      <c r="M211" s="233">
        <f t="shared" si="85"/>
        <v>0</v>
      </c>
      <c r="O211" s="227"/>
      <c r="P211" s="216"/>
      <c r="Q211" s="227">
        <v>22340</v>
      </c>
      <c r="R211" s="216"/>
      <c r="S211" s="216">
        <f t="shared" si="86"/>
        <v>22340</v>
      </c>
      <c r="U211" s="210"/>
      <c r="V211" s="199"/>
      <c r="W211" s="210">
        <v>114795</v>
      </c>
      <c r="X211" s="199"/>
      <c r="Y211" s="199">
        <f t="shared" si="87"/>
        <v>114795</v>
      </c>
      <c r="AA211" s="192"/>
      <c r="AB211" s="181"/>
      <c r="AC211" s="192"/>
      <c r="AD211" s="181"/>
      <c r="AE211" s="181">
        <f t="shared" si="88"/>
        <v>0</v>
      </c>
      <c r="AG211" s="174"/>
      <c r="AH211" s="163"/>
      <c r="AI211" s="174"/>
      <c r="AJ211" s="163"/>
      <c r="AK211" s="163">
        <f t="shared" si="89"/>
        <v>0</v>
      </c>
      <c r="AM211" s="308">
        <v>742571</v>
      </c>
      <c r="AN211" s="107">
        <v>0</v>
      </c>
      <c r="AO211" s="18">
        <f t="shared" si="81"/>
        <v>742571</v>
      </c>
      <c r="AP211" s="308">
        <v>610576</v>
      </c>
      <c r="AQ211" s="107">
        <v>0</v>
      </c>
      <c r="AR211" s="107">
        <f t="shared" si="90"/>
        <v>610576</v>
      </c>
      <c r="AT211" s="279"/>
      <c r="AU211" s="279"/>
      <c r="AV211" s="279">
        <f t="shared" si="82"/>
        <v>747711</v>
      </c>
      <c r="AW211" s="279">
        <f t="shared" si="83"/>
        <v>0</v>
      </c>
      <c r="AX211" s="279">
        <f t="shared" si="92"/>
        <v>747711</v>
      </c>
      <c r="AY211" s="50">
        <v>16315326.87</v>
      </c>
      <c r="AZ211" s="137">
        <f t="shared" si="91"/>
        <v>-15567615.87</v>
      </c>
    </row>
    <row r="212" spans="1:52" ht="18.75">
      <c r="A212" s="43" t="s">
        <v>242</v>
      </c>
      <c r="B212" s="271"/>
      <c r="C212" s="252"/>
      <c r="D212" s="271">
        <v>4365781.2</v>
      </c>
      <c r="E212" s="251">
        <v>0</v>
      </c>
      <c r="F212" s="247">
        <f t="shared" si="84"/>
        <v>0</v>
      </c>
      <c r="I212" s="244"/>
      <c r="J212" s="233"/>
      <c r="K212" s="244"/>
      <c r="L212" s="233"/>
      <c r="M212" s="233">
        <f t="shared" si="85"/>
        <v>0</v>
      </c>
      <c r="O212" s="227"/>
      <c r="P212" s="216"/>
      <c r="Q212" s="227">
        <v>31239</v>
      </c>
      <c r="R212" s="216"/>
      <c r="S212" s="216">
        <f t="shared" si="86"/>
        <v>31239</v>
      </c>
      <c r="U212" s="210"/>
      <c r="V212" s="199"/>
      <c r="W212" s="210"/>
      <c r="X212" s="199"/>
      <c r="Y212" s="199">
        <f t="shared" si="87"/>
        <v>0</v>
      </c>
      <c r="AA212" s="192"/>
      <c r="AB212" s="181"/>
      <c r="AC212" s="192"/>
      <c r="AD212" s="181"/>
      <c r="AE212" s="181">
        <f t="shared" si="88"/>
        <v>0</v>
      </c>
      <c r="AG212" s="174"/>
      <c r="AH212" s="163"/>
      <c r="AI212" s="174"/>
      <c r="AJ212" s="163"/>
      <c r="AK212" s="163">
        <f t="shared" si="89"/>
        <v>0</v>
      </c>
      <c r="AM212" s="308"/>
      <c r="AN212" s="107">
        <v>0</v>
      </c>
      <c r="AO212" s="18">
        <f t="shared" si="81"/>
        <v>0</v>
      </c>
      <c r="AP212" s="308">
        <v>20960</v>
      </c>
      <c r="AQ212" s="107">
        <v>0</v>
      </c>
      <c r="AR212" s="107">
        <f t="shared" si="90"/>
        <v>20960</v>
      </c>
      <c r="AT212" s="279"/>
      <c r="AU212" s="279"/>
      <c r="AV212" s="279">
        <f t="shared" si="82"/>
        <v>52199</v>
      </c>
      <c r="AW212" s="279">
        <f t="shared" si="83"/>
        <v>0</v>
      </c>
      <c r="AX212" s="279">
        <f t="shared" si="92"/>
        <v>52199</v>
      </c>
      <c r="AY212" s="50">
        <v>4365781.2</v>
      </c>
      <c r="AZ212" s="137">
        <f t="shared" si="91"/>
        <v>-4313582.2</v>
      </c>
    </row>
    <row r="213" spans="1:52" ht="18.75">
      <c r="A213" s="43" t="s">
        <v>243</v>
      </c>
      <c r="B213" s="271"/>
      <c r="C213" s="252"/>
      <c r="D213" s="271">
        <v>112049.65</v>
      </c>
      <c r="E213" s="251">
        <v>0</v>
      </c>
      <c r="F213" s="247">
        <f t="shared" si="84"/>
        <v>0</v>
      </c>
      <c r="I213" s="244"/>
      <c r="J213" s="233"/>
      <c r="K213" s="244"/>
      <c r="L213" s="233"/>
      <c r="M213" s="233">
        <f t="shared" si="85"/>
        <v>0</v>
      </c>
      <c r="O213" s="227"/>
      <c r="P213" s="216"/>
      <c r="Q213" s="227"/>
      <c r="R213" s="216"/>
      <c r="S213" s="216">
        <f t="shared" si="86"/>
        <v>0</v>
      </c>
      <c r="U213" s="210"/>
      <c r="V213" s="199"/>
      <c r="W213" s="210"/>
      <c r="X213" s="199"/>
      <c r="Y213" s="199">
        <f t="shared" si="87"/>
        <v>0</v>
      </c>
      <c r="AA213" s="192"/>
      <c r="AB213" s="181"/>
      <c r="AC213" s="192"/>
      <c r="AD213" s="181"/>
      <c r="AE213" s="181">
        <f t="shared" si="88"/>
        <v>0</v>
      </c>
      <c r="AG213" s="174"/>
      <c r="AH213" s="163"/>
      <c r="AI213" s="174"/>
      <c r="AJ213" s="163"/>
      <c r="AK213" s="163">
        <f t="shared" si="89"/>
        <v>0</v>
      </c>
      <c r="AM213" s="308">
        <v>25000</v>
      </c>
      <c r="AN213" s="107">
        <v>0</v>
      </c>
      <c r="AO213" s="18">
        <f t="shared" si="81"/>
        <v>25000</v>
      </c>
      <c r="AP213" s="308">
        <v>0</v>
      </c>
      <c r="AQ213" s="107">
        <v>0</v>
      </c>
      <c r="AR213" s="107">
        <f t="shared" si="90"/>
        <v>0</v>
      </c>
      <c r="AT213" s="279"/>
      <c r="AU213" s="279"/>
      <c r="AV213" s="279">
        <f t="shared" si="82"/>
        <v>0</v>
      </c>
      <c r="AW213" s="279">
        <f t="shared" si="83"/>
        <v>0</v>
      </c>
      <c r="AX213" s="279">
        <f t="shared" si="92"/>
        <v>0</v>
      </c>
      <c r="AY213" s="50">
        <v>164248.65</v>
      </c>
      <c r="AZ213" s="137">
        <f t="shared" si="91"/>
        <v>-164248.65</v>
      </c>
    </row>
    <row r="214" spans="1:52" ht="18.75">
      <c r="A214" s="43" t="s">
        <v>132</v>
      </c>
      <c r="B214" s="271"/>
      <c r="C214" s="252"/>
      <c r="D214" s="271">
        <v>160550</v>
      </c>
      <c r="E214" s="251">
        <v>0</v>
      </c>
      <c r="F214" s="247">
        <f t="shared" si="84"/>
        <v>0</v>
      </c>
      <c r="I214" s="244"/>
      <c r="J214" s="233"/>
      <c r="K214" s="244"/>
      <c r="L214" s="233"/>
      <c r="M214" s="233">
        <f t="shared" si="85"/>
        <v>0</v>
      </c>
      <c r="O214" s="227"/>
      <c r="P214" s="216"/>
      <c r="Q214" s="227">
        <v>61770</v>
      </c>
      <c r="R214" s="216"/>
      <c r="S214" s="216">
        <f t="shared" si="86"/>
        <v>61770</v>
      </c>
      <c r="U214" s="210"/>
      <c r="V214" s="199"/>
      <c r="W214" s="210">
        <v>4350</v>
      </c>
      <c r="X214" s="199"/>
      <c r="Y214" s="199">
        <f t="shared" si="87"/>
        <v>4350</v>
      </c>
      <c r="AA214" s="192"/>
      <c r="AB214" s="181"/>
      <c r="AC214" s="192"/>
      <c r="AD214" s="181"/>
      <c r="AE214" s="181">
        <f t="shared" si="88"/>
        <v>0</v>
      </c>
      <c r="AG214" s="174"/>
      <c r="AH214" s="163"/>
      <c r="AI214" s="174"/>
      <c r="AJ214" s="163"/>
      <c r="AK214" s="163">
        <f t="shared" si="89"/>
        <v>0</v>
      </c>
      <c r="AM214" s="308">
        <v>65000</v>
      </c>
      <c r="AN214" s="107">
        <v>0</v>
      </c>
      <c r="AO214" s="18">
        <f t="shared" si="81"/>
        <v>65000</v>
      </c>
      <c r="AP214" s="308">
        <v>22100</v>
      </c>
      <c r="AQ214" s="107">
        <v>0</v>
      </c>
      <c r="AR214" s="107">
        <f t="shared" si="90"/>
        <v>22100</v>
      </c>
      <c r="AT214" s="279"/>
      <c r="AU214" s="279"/>
      <c r="AV214" s="279">
        <f t="shared" si="82"/>
        <v>88220</v>
      </c>
      <c r="AW214" s="279">
        <f t="shared" si="83"/>
        <v>0</v>
      </c>
      <c r="AX214" s="279">
        <f t="shared" si="92"/>
        <v>88220</v>
      </c>
      <c r="AY214" s="50">
        <v>267420</v>
      </c>
      <c r="AZ214" s="137">
        <f t="shared" si="91"/>
        <v>-179200</v>
      </c>
    </row>
    <row r="215" spans="1:52" ht="18.75">
      <c r="A215" s="43" t="s">
        <v>282</v>
      </c>
      <c r="B215" s="271"/>
      <c r="C215" s="252"/>
      <c r="D215" s="271">
        <v>7965058.13</v>
      </c>
      <c r="E215" s="251">
        <v>0</v>
      </c>
      <c r="F215" s="247">
        <f t="shared" si="84"/>
        <v>0</v>
      </c>
      <c r="I215" s="244"/>
      <c r="J215" s="233"/>
      <c r="K215" s="244"/>
      <c r="L215" s="233"/>
      <c r="M215" s="233">
        <f t="shared" si="85"/>
        <v>0</v>
      </c>
      <c r="O215" s="227"/>
      <c r="P215" s="216"/>
      <c r="Q215" s="227"/>
      <c r="R215" s="216"/>
      <c r="S215" s="216">
        <f t="shared" si="86"/>
        <v>0</v>
      </c>
      <c r="U215" s="210"/>
      <c r="V215" s="199"/>
      <c r="W215" s="210"/>
      <c r="X215" s="199"/>
      <c r="Y215" s="199">
        <f t="shared" si="87"/>
        <v>0</v>
      </c>
      <c r="AA215" s="192"/>
      <c r="AB215" s="181"/>
      <c r="AC215" s="192"/>
      <c r="AD215" s="181"/>
      <c r="AE215" s="181">
        <f t="shared" si="88"/>
        <v>0</v>
      </c>
      <c r="AG215" s="174"/>
      <c r="AH215" s="163"/>
      <c r="AI215" s="174"/>
      <c r="AJ215" s="163"/>
      <c r="AK215" s="163">
        <f t="shared" si="89"/>
        <v>0</v>
      </c>
      <c r="AM215" s="308"/>
      <c r="AN215" s="107">
        <v>0</v>
      </c>
      <c r="AO215" s="18">
        <f t="shared" si="81"/>
        <v>0</v>
      </c>
      <c r="AP215" s="308">
        <v>0</v>
      </c>
      <c r="AQ215" s="107">
        <v>0</v>
      </c>
      <c r="AR215" s="107">
        <f t="shared" si="90"/>
        <v>0</v>
      </c>
      <c r="AT215" s="279"/>
      <c r="AU215" s="279"/>
      <c r="AV215" s="279">
        <f t="shared" si="82"/>
        <v>0</v>
      </c>
      <c r="AW215" s="279">
        <f t="shared" si="83"/>
        <v>0</v>
      </c>
      <c r="AX215" s="279">
        <f t="shared" si="92"/>
        <v>0</v>
      </c>
      <c r="AY215" s="50">
        <v>7965058.13</v>
      </c>
      <c r="AZ215" s="137">
        <f t="shared" si="91"/>
        <v>-7965058.13</v>
      </c>
    </row>
    <row r="216" spans="1:60" s="17" customFormat="1" ht="19.5" thickBot="1">
      <c r="A216" s="17" t="s">
        <v>246</v>
      </c>
      <c r="B216" s="255">
        <f>SUM(B203:B215)</f>
        <v>0</v>
      </c>
      <c r="C216" s="256">
        <f>SUM(C203:C215)</f>
        <v>0</v>
      </c>
      <c r="D216" s="255">
        <f>SUM(D203:D215)</f>
        <v>166325344.95</v>
      </c>
      <c r="E216" s="255">
        <f>SUM(E203:E215)</f>
        <v>0</v>
      </c>
      <c r="F216" s="257">
        <f>SUM(F203:F215)</f>
        <v>0</v>
      </c>
      <c r="G216" s="106"/>
      <c r="H216" s="144"/>
      <c r="I216" s="236">
        <f>SUM(I203:I215)</f>
        <v>0</v>
      </c>
      <c r="J216" s="236">
        <f>SUM(J203:J215)</f>
        <v>0</v>
      </c>
      <c r="K216" s="236">
        <f>SUM(K203:K215)</f>
        <v>24510</v>
      </c>
      <c r="L216" s="236">
        <f>SUM(L203:L215)</f>
        <v>0</v>
      </c>
      <c r="M216" s="236">
        <f>SUM(M203:M215)</f>
        <v>24510</v>
      </c>
      <c r="N216" s="91"/>
      <c r="O216" s="218">
        <f>SUM(O203:O215)</f>
        <v>0</v>
      </c>
      <c r="P216" s="218">
        <f>SUM(P203:P215)</f>
        <v>0</v>
      </c>
      <c r="Q216" s="218">
        <f>SUM(Q203:Q215)</f>
        <v>115349</v>
      </c>
      <c r="R216" s="218">
        <f>SUM(R203:R215)</f>
        <v>0</v>
      </c>
      <c r="S216" s="218">
        <f>SUM(S203:S215)</f>
        <v>115349</v>
      </c>
      <c r="T216" s="91"/>
      <c r="U216" s="201">
        <f>SUM(U203:U215)</f>
        <v>0</v>
      </c>
      <c r="V216" s="201">
        <f>SUM(V203:V215)</f>
        <v>0</v>
      </c>
      <c r="W216" s="201">
        <f>SUM(W203:W215)</f>
        <v>119145</v>
      </c>
      <c r="X216" s="201">
        <f>SUM(X203:X215)</f>
        <v>0</v>
      </c>
      <c r="Y216" s="201">
        <f>SUM(Y203:Y215)</f>
        <v>119145</v>
      </c>
      <c r="Z216" s="91"/>
      <c r="AA216" s="183">
        <f>SUM(AA203:AA215)</f>
        <v>0</v>
      </c>
      <c r="AB216" s="183">
        <f>SUM(AB203:AB215)</f>
        <v>0</v>
      </c>
      <c r="AC216" s="183">
        <f>SUM(AC203:AC215)</f>
        <v>49020</v>
      </c>
      <c r="AD216" s="183">
        <f>SUM(AD203:AD215)</f>
        <v>0</v>
      </c>
      <c r="AE216" s="183">
        <f>SUM(AE203:AE215)</f>
        <v>49020</v>
      </c>
      <c r="AF216" s="106"/>
      <c r="AG216" s="165">
        <f>SUM(AG203:AG215)</f>
        <v>0</v>
      </c>
      <c r="AH216" s="165">
        <f>SUM(AH203:AH215)</f>
        <v>0</v>
      </c>
      <c r="AI216" s="165">
        <f>SUM(AI203:AI215)</f>
        <v>70383.6</v>
      </c>
      <c r="AJ216" s="165">
        <f>SUM(AJ203:AJ215)</f>
        <v>0</v>
      </c>
      <c r="AK216" s="165">
        <f>SUM(AK203:AK215)</f>
        <v>70383.6</v>
      </c>
      <c r="AL216" s="91"/>
      <c r="AM216" s="300">
        <f aca="true" t="shared" si="93" ref="AM216:AR216">SUM(AM203:AM215)</f>
        <v>832571</v>
      </c>
      <c r="AN216" s="300">
        <f t="shared" si="93"/>
        <v>0</v>
      </c>
      <c r="AO216" s="300">
        <f t="shared" si="93"/>
        <v>832571</v>
      </c>
      <c r="AP216" s="300">
        <f t="shared" si="93"/>
        <v>852377</v>
      </c>
      <c r="AQ216" s="300">
        <f t="shared" si="93"/>
        <v>0</v>
      </c>
      <c r="AR216" s="300">
        <f t="shared" si="93"/>
        <v>852377</v>
      </c>
      <c r="AS216" s="91"/>
      <c r="AT216" s="281">
        <f>SUM(AT203:AT215)</f>
        <v>0</v>
      </c>
      <c r="AU216" s="281">
        <f>SUM(AU203:AU215)</f>
        <v>0</v>
      </c>
      <c r="AV216" s="281">
        <f>SUM(AV203:AV215)</f>
        <v>1230784.6</v>
      </c>
      <c r="AW216" s="281">
        <f>SUM(AW203:AW215)</f>
        <v>0</v>
      </c>
      <c r="AX216" s="281">
        <f>SUM(AX203:AX215)</f>
        <v>1230784.6</v>
      </c>
      <c r="AY216" s="91"/>
      <c r="AZ216" s="144"/>
      <c r="BA216" s="91"/>
      <c r="BB216" s="91"/>
      <c r="BC216" s="91"/>
      <c r="BD216" s="91"/>
      <c r="BE216" s="91"/>
      <c r="BF216" s="91"/>
      <c r="BG216" s="91"/>
      <c r="BH216" s="91"/>
    </row>
    <row r="217" spans="2:60" s="17" customFormat="1" ht="19.5" thickTop="1">
      <c r="B217" s="247"/>
      <c r="C217" s="247"/>
      <c r="D217" s="247"/>
      <c r="E217" s="247"/>
      <c r="F217" s="247"/>
      <c r="G217" s="106"/>
      <c r="H217" s="144"/>
      <c r="I217" s="231"/>
      <c r="J217" s="231"/>
      <c r="K217" s="231"/>
      <c r="L217" s="231"/>
      <c r="M217" s="231"/>
      <c r="N217" s="91"/>
      <c r="O217" s="214"/>
      <c r="P217" s="214"/>
      <c r="Q217" s="214"/>
      <c r="R217" s="214"/>
      <c r="S217" s="214"/>
      <c r="T217" s="91"/>
      <c r="U217" s="197"/>
      <c r="V217" s="197"/>
      <c r="W217" s="197"/>
      <c r="X217" s="197"/>
      <c r="Y217" s="197"/>
      <c r="Z217" s="91"/>
      <c r="AA217" s="179"/>
      <c r="AB217" s="179"/>
      <c r="AC217" s="179"/>
      <c r="AD217" s="179"/>
      <c r="AE217" s="179"/>
      <c r="AF217" s="106"/>
      <c r="AG217" s="161"/>
      <c r="AH217" s="161"/>
      <c r="AI217" s="161"/>
      <c r="AJ217" s="161"/>
      <c r="AK217" s="161"/>
      <c r="AL217" s="91"/>
      <c r="AM217" s="106"/>
      <c r="AN217" s="106"/>
      <c r="AO217" s="106"/>
      <c r="AP217" s="106"/>
      <c r="AQ217" s="106"/>
      <c r="AR217" s="106"/>
      <c r="AS217" s="91"/>
      <c r="AT217" s="277"/>
      <c r="AU217" s="277"/>
      <c r="AV217" s="277"/>
      <c r="AW217" s="277"/>
      <c r="AX217" s="277"/>
      <c r="AY217" s="91"/>
      <c r="AZ217" s="144"/>
      <c r="BA217" s="91"/>
      <c r="BB217" s="91"/>
      <c r="BC217" s="91"/>
      <c r="BD217" s="91"/>
      <c r="BE217" s="91"/>
      <c r="BF217" s="91"/>
      <c r="BG217" s="91"/>
      <c r="BH217" s="91"/>
    </row>
    <row r="218" spans="1:50" ht="18.75">
      <c r="A218" s="51" t="s">
        <v>476</v>
      </c>
      <c r="B218" s="248" t="s">
        <v>56</v>
      </c>
      <c r="C218" s="249" t="s">
        <v>57</v>
      </c>
      <c r="D218" s="248" t="s">
        <v>56</v>
      </c>
      <c r="E218" s="248" t="s">
        <v>57</v>
      </c>
      <c r="F218" s="250"/>
      <c r="G218" s="97"/>
      <c r="I218" s="232" t="s">
        <v>56</v>
      </c>
      <c r="J218" s="232" t="s">
        <v>57</v>
      </c>
      <c r="K218" s="232" t="s">
        <v>56</v>
      </c>
      <c r="L218" s="232" t="s">
        <v>57</v>
      </c>
      <c r="M218" s="232" t="s">
        <v>101</v>
      </c>
      <c r="O218" s="215" t="s">
        <v>56</v>
      </c>
      <c r="P218" s="215" t="s">
        <v>57</v>
      </c>
      <c r="Q218" s="215" t="s">
        <v>56</v>
      </c>
      <c r="R218" s="215" t="s">
        <v>57</v>
      </c>
      <c r="S218" s="215" t="s">
        <v>101</v>
      </c>
      <c r="U218" s="198" t="s">
        <v>56</v>
      </c>
      <c r="V218" s="198" t="s">
        <v>57</v>
      </c>
      <c r="W218" s="198" t="s">
        <v>56</v>
      </c>
      <c r="X218" s="198" t="s">
        <v>57</v>
      </c>
      <c r="Y218" s="198" t="s">
        <v>101</v>
      </c>
      <c r="AA218" s="180" t="s">
        <v>56</v>
      </c>
      <c r="AB218" s="180" t="s">
        <v>57</v>
      </c>
      <c r="AC218" s="180" t="s">
        <v>56</v>
      </c>
      <c r="AD218" s="180" t="s">
        <v>57</v>
      </c>
      <c r="AE218" s="180" t="s">
        <v>101</v>
      </c>
      <c r="AF218" s="97"/>
      <c r="AG218" s="162" t="s">
        <v>56</v>
      </c>
      <c r="AH218" s="162" t="s">
        <v>57</v>
      </c>
      <c r="AI218" s="162" t="s">
        <v>56</v>
      </c>
      <c r="AJ218" s="162" t="s">
        <v>57</v>
      </c>
      <c r="AK218" s="162" t="s">
        <v>101</v>
      </c>
      <c r="AM218" s="18" t="s">
        <v>56</v>
      </c>
      <c r="AN218" s="18" t="s">
        <v>57</v>
      </c>
      <c r="AO218" s="18" t="s">
        <v>101</v>
      </c>
      <c r="AP218" s="18" t="s">
        <v>56</v>
      </c>
      <c r="AQ218" s="18" t="s">
        <v>57</v>
      </c>
      <c r="AR218" s="18" t="s">
        <v>101</v>
      </c>
      <c r="AT218" s="278" t="s">
        <v>56</v>
      </c>
      <c r="AU218" s="278" t="s">
        <v>57</v>
      </c>
      <c r="AV218" s="278" t="s">
        <v>56</v>
      </c>
      <c r="AW218" s="278" t="s">
        <v>57</v>
      </c>
      <c r="AX218" s="278" t="s">
        <v>101</v>
      </c>
    </row>
    <row r="219" spans="1:50" ht="18.75">
      <c r="A219" s="43" t="s">
        <v>428</v>
      </c>
      <c r="B219" s="271"/>
      <c r="C219" s="272"/>
      <c r="D219" s="271">
        <v>11853249.13</v>
      </c>
      <c r="E219" s="271">
        <v>3428659.16</v>
      </c>
      <c r="F219" s="247">
        <f>SUM(B219:C219)</f>
        <v>0</v>
      </c>
      <c r="I219" s="244"/>
      <c r="J219" s="244"/>
      <c r="K219" s="244"/>
      <c r="L219" s="244"/>
      <c r="M219" s="233">
        <f>SUM(K219:L219)</f>
        <v>0</v>
      </c>
      <c r="O219" s="227"/>
      <c r="P219" s="227"/>
      <c r="Q219" s="227"/>
      <c r="R219" s="227"/>
      <c r="S219" s="216">
        <f>SUM(Q219:R219)</f>
        <v>0</v>
      </c>
      <c r="U219" s="210"/>
      <c r="V219" s="210"/>
      <c r="W219" s="210"/>
      <c r="X219" s="210"/>
      <c r="Y219" s="199">
        <f>SUM(W219:X219)</f>
        <v>0</v>
      </c>
      <c r="AA219" s="192"/>
      <c r="AB219" s="192"/>
      <c r="AC219" s="192">
        <v>42500</v>
      </c>
      <c r="AD219" s="192"/>
      <c r="AE219" s="181">
        <f>SUM(AC219:AD219)</f>
        <v>42500</v>
      </c>
      <c r="AG219" s="174"/>
      <c r="AH219" s="174"/>
      <c r="AI219" s="174"/>
      <c r="AJ219" s="174"/>
      <c r="AK219" s="163">
        <f>SUM(AI219:AJ219)</f>
        <v>0</v>
      </c>
      <c r="AM219" s="308">
        <v>297900</v>
      </c>
      <c r="AN219" s="308">
        <v>188000</v>
      </c>
      <c r="AO219" s="18">
        <f>SUM(AM219:AN219)</f>
        <v>485900</v>
      </c>
      <c r="AP219" s="308">
        <v>275500</v>
      </c>
      <c r="AQ219" s="308">
        <v>197000</v>
      </c>
      <c r="AR219" s="107">
        <f>SUM(AP219:AQ219)</f>
        <v>472500</v>
      </c>
      <c r="AT219" s="279"/>
      <c r="AU219" s="279"/>
      <c r="AV219" s="279">
        <f aca="true" t="shared" si="94" ref="AV219:AW223">+B219+K219+Q219+W219+AC219+AI219+AP219</f>
        <v>318000</v>
      </c>
      <c r="AW219" s="279">
        <f t="shared" si="94"/>
        <v>197000</v>
      </c>
      <c r="AX219" s="279">
        <f>SUM(AV219:AW219)</f>
        <v>515000</v>
      </c>
    </row>
    <row r="220" spans="1:50" ht="18.75">
      <c r="A220" s="43" t="s">
        <v>427</v>
      </c>
      <c r="B220" s="251"/>
      <c r="C220" s="272"/>
      <c r="D220" s="251">
        <f>5133419.53</f>
        <v>5133419.53</v>
      </c>
      <c r="E220" s="271">
        <v>992250</v>
      </c>
      <c r="F220" s="247">
        <f>SUM(B220:C220)</f>
        <v>0</v>
      </c>
      <c r="I220" s="233"/>
      <c r="J220" s="244"/>
      <c r="K220" s="233"/>
      <c r="L220" s="244"/>
      <c r="M220" s="233">
        <f>SUM(K220:L220)</f>
        <v>0</v>
      </c>
      <c r="O220" s="216"/>
      <c r="P220" s="227"/>
      <c r="Q220" s="216"/>
      <c r="R220" s="227"/>
      <c r="S220" s="216">
        <f>SUM(Q220:R220)</f>
        <v>0</v>
      </c>
      <c r="U220" s="199"/>
      <c r="V220" s="210"/>
      <c r="W220" s="199"/>
      <c r="X220" s="210"/>
      <c r="Y220" s="199">
        <f>SUM(W220:X220)</f>
        <v>0</v>
      </c>
      <c r="AA220" s="181"/>
      <c r="AB220" s="192"/>
      <c r="AC220" s="181"/>
      <c r="AD220" s="192"/>
      <c r="AE220" s="181">
        <f>SUM(AC220:AD220)</f>
        <v>0</v>
      </c>
      <c r="AG220" s="163"/>
      <c r="AH220" s="174"/>
      <c r="AI220" s="163"/>
      <c r="AJ220" s="174"/>
      <c r="AK220" s="163">
        <f>SUM(AI220:AJ220)</f>
        <v>0</v>
      </c>
      <c r="AM220" s="107">
        <v>0</v>
      </c>
      <c r="AN220" s="308">
        <v>0</v>
      </c>
      <c r="AO220" s="18">
        <f>SUM(AM220:AN220)</f>
        <v>0</v>
      </c>
      <c r="AP220" s="107">
        <v>0</v>
      </c>
      <c r="AQ220" s="308">
        <v>0</v>
      </c>
      <c r="AR220" s="107">
        <f>SUM(AP220:AQ220)</f>
        <v>0</v>
      </c>
      <c r="AT220" s="279"/>
      <c r="AU220" s="279"/>
      <c r="AV220" s="279">
        <f t="shared" si="94"/>
        <v>0</v>
      </c>
      <c r="AW220" s="279">
        <f t="shared" si="94"/>
        <v>0</v>
      </c>
      <c r="AX220" s="279">
        <f>SUM(AV220:AW220)</f>
        <v>0</v>
      </c>
    </row>
    <row r="221" spans="1:52" ht="18.75">
      <c r="A221" s="43" t="s">
        <v>285</v>
      </c>
      <c r="B221" s="251"/>
      <c r="C221" s="252"/>
      <c r="D221" s="251">
        <f>19475419.2</f>
        <v>19475419.2</v>
      </c>
      <c r="E221" s="251">
        <v>8700978.67</v>
      </c>
      <c r="F221" s="247">
        <f>SUM(B221:C221)</f>
        <v>0</v>
      </c>
      <c r="I221" s="233"/>
      <c r="J221" s="233"/>
      <c r="K221" s="233">
        <v>1180568</v>
      </c>
      <c r="L221" s="233">
        <v>643373.1</v>
      </c>
      <c r="M221" s="233">
        <f>SUM(K221:L221)</f>
        <v>1823941.1</v>
      </c>
      <c r="O221" s="216"/>
      <c r="P221" s="216"/>
      <c r="Q221" s="216">
        <v>15000</v>
      </c>
      <c r="R221" s="216"/>
      <c r="S221" s="216">
        <f>SUM(Q221:R221)</f>
        <v>15000</v>
      </c>
      <c r="U221" s="199"/>
      <c r="V221" s="199"/>
      <c r="W221" s="199">
        <v>893984.75</v>
      </c>
      <c r="X221" s="199">
        <v>199798</v>
      </c>
      <c r="Y221" s="199">
        <f>SUM(W221:X221)</f>
        <v>1093782.75</v>
      </c>
      <c r="AA221" s="181"/>
      <c r="AB221" s="181"/>
      <c r="AC221" s="181">
        <v>3127524.02</v>
      </c>
      <c r="AD221" s="181">
        <v>2024864.85</v>
      </c>
      <c r="AE221" s="181">
        <f>SUM(AC221:AD221)</f>
        <v>5152388.87</v>
      </c>
      <c r="AG221" s="163"/>
      <c r="AH221" s="163"/>
      <c r="AI221" s="163">
        <v>1565378.9</v>
      </c>
      <c r="AJ221" s="163">
        <v>1437510.16</v>
      </c>
      <c r="AK221" s="163">
        <f>SUM(AI221:AJ221)</f>
        <v>3002889.0599999996</v>
      </c>
      <c r="AM221" s="107">
        <v>2325637.55</v>
      </c>
      <c r="AN221" s="107">
        <v>700200.8</v>
      </c>
      <c r="AO221" s="18">
        <f>SUM(AM221:AN221)</f>
        <v>3025838.3499999996</v>
      </c>
      <c r="AP221" s="107">
        <v>2231230.9</v>
      </c>
      <c r="AQ221" s="107">
        <v>809079</v>
      </c>
      <c r="AR221" s="107">
        <f>SUM(AP221:AQ221)</f>
        <v>3040309.9</v>
      </c>
      <c r="AT221" s="279"/>
      <c r="AU221" s="279"/>
      <c r="AV221" s="279">
        <f t="shared" si="94"/>
        <v>9013686.57</v>
      </c>
      <c r="AW221" s="279">
        <f t="shared" si="94"/>
        <v>5114625.11</v>
      </c>
      <c r="AX221" s="279">
        <f>SUM(AV221:AW221)</f>
        <v>14128311.68</v>
      </c>
      <c r="AY221" s="50">
        <v>28499195.87</v>
      </c>
      <c r="AZ221" s="137">
        <f>+F221-AY221</f>
        <v>-28499195.87</v>
      </c>
    </row>
    <row r="222" spans="1:52" ht="18.75">
      <c r="A222" s="43" t="s">
        <v>286</v>
      </c>
      <c r="B222" s="251"/>
      <c r="C222" s="252"/>
      <c r="D222" s="251">
        <f>14098643.75</f>
        <v>14098643.75</v>
      </c>
      <c r="E222" s="251">
        <v>1031126.67</v>
      </c>
      <c r="F222" s="247">
        <f>SUM(B222:C222)</f>
        <v>0</v>
      </c>
      <c r="I222" s="246"/>
      <c r="J222" s="233"/>
      <c r="K222" s="246"/>
      <c r="L222" s="233"/>
      <c r="M222" s="233">
        <f>SUM(K222:L222)</f>
        <v>0</v>
      </c>
      <c r="O222" s="216"/>
      <c r="P222" s="216"/>
      <c r="Q222" s="216">
        <v>551065.2</v>
      </c>
      <c r="R222" s="216">
        <v>338749</v>
      </c>
      <c r="S222" s="216">
        <f>SUM(Q222:R222)</f>
        <v>889814.2</v>
      </c>
      <c r="U222" s="199"/>
      <c r="V222" s="199"/>
      <c r="W222" s="199"/>
      <c r="X222" s="199"/>
      <c r="Y222" s="199">
        <f>SUM(W222:X222)</f>
        <v>0</v>
      </c>
      <c r="AA222" s="181"/>
      <c r="AB222" s="181"/>
      <c r="AC222" s="181"/>
      <c r="AD222" s="181"/>
      <c r="AE222" s="181">
        <f>SUM(AC222:AD222)</f>
        <v>0</v>
      </c>
      <c r="AG222" s="163"/>
      <c r="AH222" s="163"/>
      <c r="AI222" s="163"/>
      <c r="AJ222" s="163"/>
      <c r="AK222" s="163">
        <f>SUM(AI222:AJ222)</f>
        <v>0</v>
      </c>
      <c r="AM222" s="107">
        <v>0</v>
      </c>
      <c r="AN222" s="107">
        <v>0</v>
      </c>
      <c r="AO222" s="18">
        <f>SUM(AM222:AN222)</f>
        <v>0</v>
      </c>
      <c r="AP222" s="107">
        <v>0</v>
      </c>
      <c r="AQ222" s="107">
        <v>172371</v>
      </c>
      <c r="AR222" s="107">
        <f>SUM(AP222:AQ222)</f>
        <v>172371</v>
      </c>
      <c r="AT222" s="279"/>
      <c r="AU222" s="279"/>
      <c r="AV222" s="279">
        <f t="shared" si="94"/>
        <v>551065.2</v>
      </c>
      <c r="AW222" s="279">
        <f t="shared" si="94"/>
        <v>511120</v>
      </c>
      <c r="AX222" s="279">
        <f>SUM(AV222:AW222)</f>
        <v>1062185.2</v>
      </c>
      <c r="AY222" s="50">
        <v>14698625.42</v>
      </c>
      <c r="AZ222" s="137">
        <f>+F222-AY222</f>
        <v>-14698625.42</v>
      </c>
    </row>
    <row r="223" spans="1:52" ht="18.75">
      <c r="A223" s="43" t="s">
        <v>287</v>
      </c>
      <c r="B223" s="251"/>
      <c r="C223" s="252"/>
      <c r="D223" s="251">
        <f>1191435.96</f>
        <v>1191435.96</v>
      </c>
      <c r="E223" s="251">
        <v>266585</v>
      </c>
      <c r="F223" s="247">
        <f>SUM(B223:C223)</f>
        <v>0</v>
      </c>
      <c r="I223" s="233"/>
      <c r="J223" s="233"/>
      <c r="K223" s="233">
        <v>1216262.1</v>
      </c>
      <c r="L223" s="233"/>
      <c r="M223" s="233">
        <f>SUM(K223:L223)</f>
        <v>1216262.1</v>
      </c>
      <c r="O223" s="216"/>
      <c r="P223" s="216"/>
      <c r="Q223" s="216"/>
      <c r="R223" s="216"/>
      <c r="S223" s="216">
        <f>SUM(Q223:R223)</f>
        <v>0</v>
      </c>
      <c r="U223" s="199"/>
      <c r="V223" s="199"/>
      <c r="W223" s="199"/>
      <c r="X223" s="199"/>
      <c r="Y223" s="199">
        <f>SUM(W223:X223)</f>
        <v>0</v>
      </c>
      <c r="AA223" s="181"/>
      <c r="AB223" s="181"/>
      <c r="AC223" s="181"/>
      <c r="AD223" s="181"/>
      <c r="AE223" s="181">
        <f>SUM(AC223:AD223)</f>
        <v>0</v>
      </c>
      <c r="AG223" s="163"/>
      <c r="AH223" s="163"/>
      <c r="AI223" s="163"/>
      <c r="AJ223" s="163"/>
      <c r="AK223" s="163">
        <f>SUM(AI223:AJ223)</f>
        <v>0</v>
      </c>
      <c r="AM223" s="107">
        <v>0</v>
      </c>
      <c r="AN223" s="107">
        <v>0</v>
      </c>
      <c r="AO223" s="18">
        <f>SUM(AM223:AN223)</f>
        <v>0</v>
      </c>
      <c r="AP223" s="107">
        <v>0</v>
      </c>
      <c r="AQ223" s="107">
        <v>0</v>
      </c>
      <c r="AR223" s="107">
        <f>SUM(AP223:AQ223)</f>
        <v>0</v>
      </c>
      <c r="AT223" s="279"/>
      <c r="AU223" s="279"/>
      <c r="AV223" s="279">
        <f t="shared" si="94"/>
        <v>1216262.1</v>
      </c>
      <c r="AW223" s="279">
        <f t="shared" si="94"/>
        <v>0</v>
      </c>
      <c r="AX223" s="279">
        <f>SUM(AV223:AW223)</f>
        <v>1216262.1</v>
      </c>
      <c r="AY223" s="50">
        <v>1383020.96</v>
      </c>
      <c r="AZ223" s="137">
        <f>+F223-AY223</f>
        <v>-1383020.96</v>
      </c>
    </row>
    <row r="224" spans="1:60" s="17" customFormat="1" ht="19.5" thickBot="1">
      <c r="A224" s="17" t="s">
        <v>238</v>
      </c>
      <c r="B224" s="255">
        <f>SUM(B219:B223)</f>
        <v>0</v>
      </c>
      <c r="C224" s="256">
        <f>SUM(C219:C223)</f>
        <v>0</v>
      </c>
      <c r="D224" s="255">
        <f>SUM(D219:D223)</f>
        <v>51752167.57</v>
      </c>
      <c r="E224" s="255">
        <f>SUM(E219:E223)</f>
        <v>14419599.5</v>
      </c>
      <c r="F224" s="257">
        <f>SUM(F219:F223)</f>
        <v>0</v>
      </c>
      <c r="G224" s="106"/>
      <c r="H224" s="144"/>
      <c r="I224" s="236">
        <f>SUM(I219:I223)</f>
        <v>0</v>
      </c>
      <c r="J224" s="236">
        <f>SUM(J219:J223)</f>
        <v>0</v>
      </c>
      <c r="K224" s="236">
        <f>SUM(K219:K223)</f>
        <v>2396830.1</v>
      </c>
      <c r="L224" s="236">
        <f>SUM(L219:L223)</f>
        <v>643373.1</v>
      </c>
      <c r="M224" s="236">
        <f>SUM(M219:M223)</f>
        <v>3040203.2</v>
      </c>
      <c r="N224" s="91"/>
      <c r="O224" s="218">
        <f>SUM(O219:O223)</f>
        <v>0</v>
      </c>
      <c r="P224" s="218">
        <f>SUM(P219:P223)</f>
        <v>0</v>
      </c>
      <c r="Q224" s="218">
        <f>SUM(Q219:Q223)</f>
        <v>566065.2</v>
      </c>
      <c r="R224" s="218">
        <f>SUM(R219:R223)</f>
        <v>338749</v>
      </c>
      <c r="S224" s="218">
        <f>SUM(S219:S223)</f>
        <v>904814.2</v>
      </c>
      <c r="T224" s="91"/>
      <c r="U224" s="201">
        <f>SUM(U219:U223)</f>
        <v>0</v>
      </c>
      <c r="V224" s="201">
        <f>SUM(V219:V223)</f>
        <v>0</v>
      </c>
      <c r="W224" s="201">
        <f>SUM(W219:W223)</f>
        <v>893984.75</v>
      </c>
      <c r="X224" s="201">
        <f>SUM(X219:X223)</f>
        <v>199798</v>
      </c>
      <c r="Y224" s="201">
        <f>SUM(Y219:Y223)</f>
        <v>1093782.75</v>
      </c>
      <c r="Z224" s="91"/>
      <c r="AA224" s="183">
        <f>SUM(AA219:AA223)</f>
        <v>0</v>
      </c>
      <c r="AB224" s="183">
        <f>SUM(AB219:AB223)</f>
        <v>0</v>
      </c>
      <c r="AC224" s="183">
        <f>SUM(AC219:AC223)</f>
        <v>3170024.02</v>
      </c>
      <c r="AD224" s="183">
        <f>SUM(AD219:AD223)</f>
        <v>2024864.85</v>
      </c>
      <c r="AE224" s="183">
        <f>SUM(AE219:AE223)</f>
        <v>5194888.87</v>
      </c>
      <c r="AF224" s="106"/>
      <c r="AG224" s="165">
        <f>SUM(AG219:AG223)</f>
        <v>0</v>
      </c>
      <c r="AH224" s="165">
        <f>SUM(AH219:AH223)</f>
        <v>0</v>
      </c>
      <c r="AI224" s="165">
        <f>SUM(AI219:AI223)</f>
        <v>1565378.9</v>
      </c>
      <c r="AJ224" s="165">
        <f>SUM(AJ219:AJ223)</f>
        <v>1437510.16</v>
      </c>
      <c r="AK224" s="165">
        <f>SUM(AK219:AK223)</f>
        <v>3002889.0599999996</v>
      </c>
      <c r="AL224" s="91"/>
      <c r="AM224" s="300">
        <f aca="true" t="shared" si="95" ref="AM224:AR224">SUM(AM219:AM223)</f>
        <v>2623537.55</v>
      </c>
      <c r="AN224" s="300">
        <f t="shared" si="95"/>
        <v>888200.8</v>
      </c>
      <c r="AO224" s="300">
        <f t="shared" si="95"/>
        <v>3511738.3499999996</v>
      </c>
      <c r="AP224" s="300">
        <f t="shared" si="95"/>
        <v>2506730.9</v>
      </c>
      <c r="AQ224" s="300">
        <f t="shared" si="95"/>
        <v>1178450</v>
      </c>
      <c r="AR224" s="300">
        <f t="shared" si="95"/>
        <v>3685180.9</v>
      </c>
      <c r="AS224" s="91"/>
      <c r="AT224" s="281">
        <f>SUM(AT219:AT223)</f>
        <v>0</v>
      </c>
      <c r="AU224" s="281">
        <f>SUM(AU219:AU223)</f>
        <v>0</v>
      </c>
      <c r="AV224" s="281">
        <f>SUM(AV219:AV223)</f>
        <v>11099013.87</v>
      </c>
      <c r="AW224" s="281">
        <f>SUM(AW219:AW223)</f>
        <v>5822745.11</v>
      </c>
      <c r="AX224" s="281">
        <f>SUM(AX219:AX223)</f>
        <v>16921758.98</v>
      </c>
      <c r="AY224" s="91"/>
      <c r="AZ224" s="144"/>
      <c r="BA224" s="91"/>
      <c r="BB224" s="91"/>
      <c r="BC224" s="91"/>
      <c r="BD224" s="91"/>
      <c r="BE224" s="91"/>
      <c r="BF224" s="91"/>
      <c r="BG224" s="91"/>
      <c r="BH224" s="91"/>
    </row>
    <row r="225" spans="2:60" s="17" customFormat="1" ht="19.5" thickTop="1">
      <c r="B225" s="247"/>
      <c r="C225" s="247"/>
      <c r="D225" s="247"/>
      <c r="E225" s="247"/>
      <c r="F225" s="247"/>
      <c r="G225" s="106"/>
      <c r="H225" s="144"/>
      <c r="I225" s="235"/>
      <c r="J225" s="235"/>
      <c r="K225" s="235"/>
      <c r="L225" s="235"/>
      <c r="M225" s="235"/>
      <c r="N225" s="91"/>
      <c r="O225" s="217"/>
      <c r="P225" s="217"/>
      <c r="Q225" s="217"/>
      <c r="R225" s="217"/>
      <c r="S225" s="217"/>
      <c r="T225" s="91"/>
      <c r="U225" s="200"/>
      <c r="V225" s="200"/>
      <c r="W225" s="200"/>
      <c r="X225" s="200"/>
      <c r="Y225" s="200"/>
      <c r="Z225" s="91"/>
      <c r="AA225" s="182"/>
      <c r="AB225" s="182"/>
      <c r="AC225" s="182"/>
      <c r="AD225" s="182"/>
      <c r="AE225" s="182"/>
      <c r="AF225" s="106"/>
      <c r="AG225" s="164"/>
      <c r="AH225" s="164"/>
      <c r="AI225" s="164"/>
      <c r="AJ225" s="164"/>
      <c r="AK225" s="164"/>
      <c r="AL225" s="91"/>
      <c r="AM225" s="298"/>
      <c r="AN225" s="298"/>
      <c r="AO225" s="298"/>
      <c r="AP225" s="298"/>
      <c r="AQ225" s="298"/>
      <c r="AR225" s="298"/>
      <c r="AS225" s="91"/>
      <c r="AT225" s="284"/>
      <c r="AU225" s="284"/>
      <c r="AV225" s="284"/>
      <c r="AW225" s="284"/>
      <c r="AX225" s="284"/>
      <c r="AY225" s="91"/>
      <c r="AZ225" s="144"/>
      <c r="BA225" s="91"/>
      <c r="BB225" s="91"/>
      <c r="BC225" s="91"/>
      <c r="BD225" s="91"/>
      <c r="BE225" s="91"/>
      <c r="BF225" s="91"/>
      <c r="BG225" s="91"/>
      <c r="BH225" s="91"/>
    </row>
    <row r="226" spans="1:50" ht="18.75">
      <c r="A226" s="51" t="s">
        <v>477</v>
      </c>
      <c r="B226" s="248" t="s">
        <v>56</v>
      </c>
      <c r="C226" s="249" t="s">
        <v>57</v>
      </c>
      <c r="D226" s="248" t="s">
        <v>56</v>
      </c>
      <c r="E226" s="248" t="s">
        <v>57</v>
      </c>
      <c r="F226" s="250"/>
      <c r="G226" s="97"/>
      <c r="I226" s="232" t="s">
        <v>56</v>
      </c>
      <c r="J226" s="232" t="s">
        <v>57</v>
      </c>
      <c r="K226" s="232" t="s">
        <v>56</v>
      </c>
      <c r="L226" s="232" t="s">
        <v>57</v>
      </c>
      <c r="M226" s="232" t="s">
        <v>101</v>
      </c>
      <c r="O226" s="215" t="s">
        <v>56</v>
      </c>
      <c r="P226" s="215" t="s">
        <v>57</v>
      </c>
      <c r="Q226" s="215" t="s">
        <v>56</v>
      </c>
      <c r="R226" s="215" t="s">
        <v>57</v>
      </c>
      <c r="S226" s="215" t="s">
        <v>101</v>
      </c>
      <c r="U226" s="198" t="s">
        <v>56</v>
      </c>
      <c r="V226" s="198" t="s">
        <v>57</v>
      </c>
      <c r="W226" s="198" t="s">
        <v>56</v>
      </c>
      <c r="X226" s="198" t="s">
        <v>57</v>
      </c>
      <c r="Y226" s="198" t="s">
        <v>101</v>
      </c>
      <c r="AA226" s="180" t="s">
        <v>56</v>
      </c>
      <c r="AB226" s="180" t="s">
        <v>57</v>
      </c>
      <c r="AC226" s="180" t="s">
        <v>56</v>
      </c>
      <c r="AD226" s="180" t="s">
        <v>57</v>
      </c>
      <c r="AE226" s="180" t="s">
        <v>101</v>
      </c>
      <c r="AF226" s="97"/>
      <c r="AG226" s="162" t="s">
        <v>56</v>
      </c>
      <c r="AH226" s="162" t="s">
        <v>57</v>
      </c>
      <c r="AI226" s="162" t="s">
        <v>56</v>
      </c>
      <c r="AJ226" s="162" t="s">
        <v>57</v>
      </c>
      <c r="AK226" s="162" t="s">
        <v>101</v>
      </c>
      <c r="AM226" s="18" t="s">
        <v>56</v>
      </c>
      <c r="AN226" s="18" t="s">
        <v>57</v>
      </c>
      <c r="AO226" s="18" t="s">
        <v>101</v>
      </c>
      <c r="AP226" s="18" t="s">
        <v>56</v>
      </c>
      <c r="AQ226" s="18" t="s">
        <v>57</v>
      </c>
      <c r="AR226" s="18" t="s">
        <v>101</v>
      </c>
      <c r="AT226" s="278" t="s">
        <v>56</v>
      </c>
      <c r="AU226" s="278" t="s">
        <v>57</v>
      </c>
      <c r="AV226" s="278" t="s">
        <v>56</v>
      </c>
      <c r="AW226" s="278" t="s">
        <v>57</v>
      </c>
      <c r="AX226" s="278" t="s">
        <v>101</v>
      </c>
    </row>
    <row r="227" spans="1:50" ht="18.75">
      <c r="A227" s="43" t="s">
        <v>288</v>
      </c>
      <c r="B227" s="271"/>
      <c r="C227" s="272"/>
      <c r="D227" s="271">
        <f>1021130-815210</f>
        <v>205920</v>
      </c>
      <c r="E227" s="271">
        <v>1676873.89</v>
      </c>
      <c r="F227" s="247">
        <f aca="true" t="shared" si="96" ref="F227:F233">SUM(B227:C227)</f>
        <v>0</v>
      </c>
      <c r="I227" s="244"/>
      <c r="J227" s="244"/>
      <c r="K227" s="244">
        <v>305535</v>
      </c>
      <c r="L227" s="244">
        <v>253860</v>
      </c>
      <c r="M227" s="233">
        <f aca="true" t="shared" si="97" ref="M227:M233">SUM(K227:L227)</f>
        <v>559395</v>
      </c>
      <c r="O227" s="227"/>
      <c r="P227" s="227"/>
      <c r="Q227" s="227">
        <v>36015</v>
      </c>
      <c r="R227" s="227"/>
      <c r="S227" s="216">
        <f aca="true" t="shared" si="98" ref="S227:S233">SUM(Q227:R227)</f>
        <v>36015</v>
      </c>
      <c r="U227" s="210"/>
      <c r="V227" s="210"/>
      <c r="W227" s="210">
        <v>388940</v>
      </c>
      <c r="X227" s="210">
        <v>37070</v>
      </c>
      <c r="Y227" s="199">
        <f aca="true" t="shared" si="99" ref="Y227:Y233">SUM(W227:X227)</f>
        <v>426010</v>
      </c>
      <c r="AA227" s="192"/>
      <c r="AB227" s="192"/>
      <c r="AC227" s="192"/>
      <c r="AD227" s="192"/>
      <c r="AE227" s="181">
        <f aca="true" t="shared" si="100" ref="AE227:AE233">SUM(AC227:AD227)</f>
        <v>0</v>
      </c>
      <c r="AG227" s="174"/>
      <c r="AH227" s="174"/>
      <c r="AI227" s="174"/>
      <c r="AJ227" s="174"/>
      <c r="AK227" s="163">
        <f aca="true" t="shared" si="101" ref="AK227:AK233">SUM(AI227:AJ227)</f>
        <v>0</v>
      </c>
      <c r="AM227" s="308">
        <v>312195</v>
      </c>
      <c r="AN227" s="308">
        <v>162490</v>
      </c>
      <c r="AO227" s="18">
        <f aca="true" t="shared" si="102" ref="AO227:AO233">SUM(AM227:AN227)</f>
        <v>474685</v>
      </c>
      <c r="AP227" s="308">
        <v>234010</v>
      </c>
      <c r="AQ227" s="308">
        <v>579570</v>
      </c>
      <c r="AR227" s="107">
        <f aca="true" t="shared" si="103" ref="AR227:AR233">SUM(AP227:AQ227)</f>
        <v>813580</v>
      </c>
      <c r="AT227" s="279"/>
      <c r="AU227" s="279"/>
      <c r="AV227" s="279">
        <f aca="true" t="shared" si="104" ref="AV227:AW233">+B227+K227+Q227+W227+AC227+AI227+AP227</f>
        <v>964500</v>
      </c>
      <c r="AW227" s="279">
        <f t="shared" si="104"/>
        <v>870500</v>
      </c>
      <c r="AX227" s="279">
        <f aca="true" t="shared" si="105" ref="AX227:AX233">SUM(AV227:AW227)</f>
        <v>1835000</v>
      </c>
    </row>
    <row r="228" spans="1:50" ht="18.75">
      <c r="A228" s="43" t="s">
        <v>355</v>
      </c>
      <c r="B228" s="271"/>
      <c r="C228" s="272"/>
      <c r="D228" s="271">
        <v>1735814.75</v>
      </c>
      <c r="E228" s="271">
        <v>970497.08</v>
      </c>
      <c r="F228" s="247">
        <f t="shared" si="96"/>
        <v>0</v>
      </c>
      <c r="I228" s="244"/>
      <c r="J228" s="244"/>
      <c r="K228" s="244">
        <v>453723.13</v>
      </c>
      <c r="L228" s="244">
        <v>102840</v>
      </c>
      <c r="M228" s="233">
        <f t="shared" si="97"/>
        <v>556563.13</v>
      </c>
      <c r="O228" s="227"/>
      <c r="P228" s="227"/>
      <c r="Q228" s="227">
        <v>19660</v>
      </c>
      <c r="R228" s="227">
        <v>800</v>
      </c>
      <c r="S228" s="216">
        <f t="shared" si="98"/>
        <v>20460</v>
      </c>
      <c r="U228" s="210"/>
      <c r="V228" s="210"/>
      <c r="W228" s="210">
        <v>578102.4</v>
      </c>
      <c r="X228" s="210">
        <v>73403.6</v>
      </c>
      <c r="Y228" s="199">
        <f t="shared" si="99"/>
        <v>651506</v>
      </c>
      <c r="AA228" s="192"/>
      <c r="AB228" s="192"/>
      <c r="AC228" s="192"/>
      <c r="AD228" s="192"/>
      <c r="AE228" s="181">
        <f t="shared" si="100"/>
        <v>0</v>
      </c>
      <c r="AG228" s="174"/>
      <c r="AH228" s="174"/>
      <c r="AI228" s="174"/>
      <c r="AJ228" s="174"/>
      <c r="AK228" s="163">
        <f t="shared" si="101"/>
        <v>0</v>
      </c>
      <c r="AM228" s="308">
        <v>307827</v>
      </c>
      <c r="AN228" s="308">
        <v>98140</v>
      </c>
      <c r="AO228" s="18">
        <f t="shared" si="102"/>
        <v>405967</v>
      </c>
      <c r="AP228" s="308">
        <v>238166</v>
      </c>
      <c r="AQ228" s="308">
        <v>278845</v>
      </c>
      <c r="AR228" s="107">
        <f t="shared" si="103"/>
        <v>517011</v>
      </c>
      <c r="AT228" s="279"/>
      <c r="AU228" s="279"/>
      <c r="AV228" s="279">
        <f t="shared" si="104"/>
        <v>1289651.53</v>
      </c>
      <c r="AW228" s="279">
        <f t="shared" si="104"/>
        <v>455888.6</v>
      </c>
      <c r="AX228" s="279">
        <f t="shared" si="105"/>
        <v>1745540.13</v>
      </c>
    </row>
    <row r="229" spans="1:50" ht="18.75">
      <c r="A229" s="43" t="s">
        <v>283</v>
      </c>
      <c r="B229" s="271"/>
      <c r="C229" s="272"/>
      <c r="D229" s="271">
        <v>4762897.76</v>
      </c>
      <c r="E229" s="271">
        <v>13407438.16</v>
      </c>
      <c r="F229" s="247">
        <f t="shared" si="96"/>
        <v>0</v>
      </c>
      <c r="I229" s="244"/>
      <c r="J229" s="244"/>
      <c r="K229" s="244">
        <v>621660.8</v>
      </c>
      <c r="L229" s="244">
        <v>144167</v>
      </c>
      <c r="M229" s="233">
        <f t="shared" si="97"/>
        <v>765827.8</v>
      </c>
      <c r="O229" s="227"/>
      <c r="P229" s="227"/>
      <c r="Q229" s="227">
        <v>92757</v>
      </c>
      <c r="R229" s="227"/>
      <c r="S229" s="216">
        <f t="shared" si="98"/>
        <v>92757</v>
      </c>
      <c r="U229" s="210"/>
      <c r="V229" s="210"/>
      <c r="W229" s="210">
        <v>517254.72</v>
      </c>
      <c r="X229" s="210">
        <v>70855.19</v>
      </c>
      <c r="Y229" s="199">
        <f t="shared" si="99"/>
        <v>588109.9099999999</v>
      </c>
      <c r="AA229" s="192"/>
      <c r="AB229" s="192"/>
      <c r="AC229" s="192">
        <v>830209.6</v>
      </c>
      <c r="AD229" s="192">
        <v>1362773</v>
      </c>
      <c r="AE229" s="181">
        <f t="shared" si="100"/>
        <v>2192982.6</v>
      </c>
      <c r="AG229" s="174"/>
      <c r="AH229" s="174"/>
      <c r="AI229" s="174">
        <v>795595.76</v>
      </c>
      <c r="AJ229" s="174">
        <v>1759637.55</v>
      </c>
      <c r="AK229" s="163">
        <f t="shared" si="101"/>
        <v>2555233.31</v>
      </c>
      <c r="AM229" s="308">
        <v>285830.5</v>
      </c>
      <c r="AN229" s="308">
        <v>203927.04</v>
      </c>
      <c r="AO229" s="18">
        <f t="shared" si="102"/>
        <v>489757.54000000004</v>
      </c>
      <c r="AP229" s="308">
        <v>334808</v>
      </c>
      <c r="AQ229" s="308">
        <v>444614.6</v>
      </c>
      <c r="AR229" s="107">
        <f t="shared" si="103"/>
        <v>779422.6</v>
      </c>
      <c r="AT229" s="279"/>
      <c r="AU229" s="279"/>
      <c r="AV229" s="279">
        <f t="shared" si="104"/>
        <v>3192285.88</v>
      </c>
      <c r="AW229" s="279">
        <f t="shared" si="104"/>
        <v>3782047.3400000003</v>
      </c>
      <c r="AX229" s="279">
        <f t="shared" si="105"/>
        <v>6974333.220000001</v>
      </c>
    </row>
    <row r="230" spans="1:50" ht="18.75">
      <c r="A230" s="51" t="s">
        <v>477</v>
      </c>
      <c r="B230" s="248" t="s">
        <v>56</v>
      </c>
      <c r="C230" s="249" t="s">
        <v>57</v>
      </c>
      <c r="D230" s="248" t="s">
        <v>56</v>
      </c>
      <c r="E230" s="248" t="s">
        <v>57</v>
      </c>
      <c r="F230" s="250"/>
      <c r="G230" s="97"/>
      <c r="I230" s="232" t="s">
        <v>56</v>
      </c>
      <c r="J230" s="232" t="s">
        <v>57</v>
      </c>
      <c r="K230" s="232" t="s">
        <v>56</v>
      </c>
      <c r="L230" s="232" t="s">
        <v>57</v>
      </c>
      <c r="M230" s="232" t="s">
        <v>101</v>
      </c>
      <c r="O230" s="215" t="s">
        <v>56</v>
      </c>
      <c r="P230" s="215" t="s">
        <v>57</v>
      </c>
      <c r="Q230" s="215" t="s">
        <v>56</v>
      </c>
      <c r="R230" s="215" t="s">
        <v>57</v>
      </c>
      <c r="S230" s="215" t="s">
        <v>101</v>
      </c>
      <c r="U230" s="198" t="s">
        <v>56</v>
      </c>
      <c r="V230" s="198" t="s">
        <v>57</v>
      </c>
      <c r="W230" s="198" t="s">
        <v>56</v>
      </c>
      <c r="X230" s="198" t="s">
        <v>57</v>
      </c>
      <c r="Y230" s="198" t="s">
        <v>101</v>
      </c>
      <c r="AA230" s="180" t="s">
        <v>56</v>
      </c>
      <c r="AB230" s="180" t="s">
        <v>57</v>
      </c>
      <c r="AC230" s="180" t="s">
        <v>56</v>
      </c>
      <c r="AD230" s="180" t="s">
        <v>57</v>
      </c>
      <c r="AE230" s="180" t="s">
        <v>101</v>
      </c>
      <c r="AF230" s="97"/>
      <c r="AG230" s="162" t="s">
        <v>56</v>
      </c>
      <c r="AH230" s="162" t="s">
        <v>57</v>
      </c>
      <c r="AI230" s="162" t="s">
        <v>56</v>
      </c>
      <c r="AJ230" s="162" t="s">
        <v>57</v>
      </c>
      <c r="AK230" s="162" t="s">
        <v>101</v>
      </c>
      <c r="AM230" s="18" t="s">
        <v>56</v>
      </c>
      <c r="AN230" s="18" t="s">
        <v>57</v>
      </c>
      <c r="AO230" s="18" t="s">
        <v>101</v>
      </c>
      <c r="AP230" s="18" t="s">
        <v>56</v>
      </c>
      <c r="AQ230" s="18" t="s">
        <v>57</v>
      </c>
      <c r="AR230" s="18" t="s">
        <v>101</v>
      </c>
      <c r="AT230" s="278" t="s">
        <v>56</v>
      </c>
      <c r="AU230" s="278" t="s">
        <v>57</v>
      </c>
      <c r="AV230" s="278" t="s">
        <v>56</v>
      </c>
      <c r="AW230" s="278" t="s">
        <v>57</v>
      </c>
      <c r="AX230" s="278" t="s">
        <v>101</v>
      </c>
    </row>
    <row r="231" spans="1:52" ht="18.75">
      <c r="A231" s="43" t="s">
        <v>289</v>
      </c>
      <c r="B231" s="271"/>
      <c r="C231" s="272"/>
      <c r="D231" s="271">
        <v>205920</v>
      </c>
      <c r="E231" s="271"/>
      <c r="F231" s="247">
        <f t="shared" si="96"/>
        <v>0</v>
      </c>
      <c r="I231" s="244"/>
      <c r="J231" s="244"/>
      <c r="K231" s="244"/>
      <c r="L231" s="244">
        <v>25840</v>
      </c>
      <c r="M231" s="233">
        <f t="shared" si="97"/>
        <v>25840</v>
      </c>
      <c r="O231" s="227"/>
      <c r="P231" s="227"/>
      <c r="Q231" s="227"/>
      <c r="R231" s="227"/>
      <c r="S231" s="216">
        <f t="shared" si="98"/>
        <v>0</v>
      </c>
      <c r="U231" s="210"/>
      <c r="V231" s="210"/>
      <c r="W231" s="210"/>
      <c r="X231" s="210">
        <v>8530</v>
      </c>
      <c r="Y231" s="199">
        <f t="shared" si="99"/>
        <v>8530</v>
      </c>
      <c r="AA231" s="192"/>
      <c r="AB231" s="192"/>
      <c r="AC231" s="192"/>
      <c r="AD231" s="192"/>
      <c r="AE231" s="181">
        <f t="shared" si="100"/>
        <v>0</v>
      </c>
      <c r="AG231" s="174"/>
      <c r="AH231" s="174"/>
      <c r="AI231" s="174"/>
      <c r="AJ231" s="174"/>
      <c r="AK231" s="163">
        <f t="shared" si="101"/>
        <v>0</v>
      </c>
      <c r="AM231" s="308">
        <v>0</v>
      </c>
      <c r="AN231" s="308">
        <v>0</v>
      </c>
      <c r="AO231" s="18">
        <f t="shared" si="102"/>
        <v>0</v>
      </c>
      <c r="AP231" s="308">
        <v>0</v>
      </c>
      <c r="AQ231" s="308">
        <v>0</v>
      </c>
      <c r="AR231" s="107">
        <f t="shared" si="103"/>
        <v>0</v>
      </c>
      <c r="AT231" s="279"/>
      <c r="AU231" s="279"/>
      <c r="AV231" s="279">
        <f t="shared" si="104"/>
        <v>0</v>
      </c>
      <c r="AW231" s="279">
        <f t="shared" si="104"/>
        <v>34370</v>
      </c>
      <c r="AX231" s="279">
        <f t="shared" si="105"/>
        <v>34370</v>
      </c>
      <c r="AY231" s="50">
        <v>1633823.89</v>
      </c>
      <c r="AZ231" s="137">
        <f>+F231-AY231</f>
        <v>-1633823.89</v>
      </c>
    </row>
    <row r="232" spans="1:52" ht="18.75">
      <c r="A232" s="43" t="s">
        <v>354</v>
      </c>
      <c r="B232" s="271"/>
      <c r="C232" s="272"/>
      <c r="D232" s="271">
        <v>45000</v>
      </c>
      <c r="E232" s="271"/>
      <c r="F232" s="247">
        <f t="shared" si="96"/>
        <v>0</v>
      </c>
      <c r="I232" s="244"/>
      <c r="J232" s="244"/>
      <c r="K232" s="244"/>
      <c r="L232" s="244">
        <v>20964.06</v>
      </c>
      <c r="M232" s="233">
        <f t="shared" si="97"/>
        <v>20964.06</v>
      </c>
      <c r="O232" s="227"/>
      <c r="P232" s="227"/>
      <c r="Q232" s="227"/>
      <c r="R232" s="227"/>
      <c r="S232" s="216">
        <f t="shared" si="98"/>
        <v>0</v>
      </c>
      <c r="U232" s="210"/>
      <c r="V232" s="210"/>
      <c r="W232" s="210"/>
      <c r="X232" s="210">
        <v>4800</v>
      </c>
      <c r="Y232" s="199">
        <f t="shared" si="99"/>
        <v>4800</v>
      </c>
      <c r="AA232" s="192"/>
      <c r="AB232" s="192"/>
      <c r="AC232" s="192"/>
      <c r="AD232" s="192"/>
      <c r="AE232" s="181">
        <f t="shared" si="100"/>
        <v>0</v>
      </c>
      <c r="AG232" s="174"/>
      <c r="AH232" s="174"/>
      <c r="AI232" s="174"/>
      <c r="AJ232" s="174"/>
      <c r="AK232" s="163">
        <f t="shared" si="101"/>
        <v>0</v>
      </c>
      <c r="AM232" s="308">
        <v>0</v>
      </c>
      <c r="AN232" s="308">
        <v>0</v>
      </c>
      <c r="AO232" s="18">
        <f t="shared" si="102"/>
        <v>0</v>
      </c>
      <c r="AP232" s="308">
        <v>0</v>
      </c>
      <c r="AQ232" s="308">
        <v>0</v>
      </c>
      <c r="AR232" s="107">
        <f t="shared" si="103"/>
        <v>0</v>
      </c>
      <c r="AT232" s="279"/>
      <c r="AU232" s="279"/>
      <c r="AV232" s="279">
        <f t="shared" si="104"/>
        <v>0</v>
      </c>
      <c r="AW232" s="279">
        <f t="shared" si="104"/>
        <v>25764.06</v>
      </c>
      <c r="AX232" s="279">
        <f t="shared" si="105"/>
        <v>25764.06</v>
      </c>
      <c r="AY232" s="50">
        <v>460784.54</v>
      </c>
      <c r="AZ232" s="137">
        <f>+F232-AY232</f>
        <v>-460784.54</v>
      </c>
    </row>
    <row r="233" spans="1:52" ht="18.75">
      <c r="A233" s="43" t="s">
        <v>284</v>
      </c>
      <c r="B233" s="271"/>
      <c r="C233" s="272"/>
      <c r="D233" s="271">
        <v>581840.18</v>
      </c>
      <c r="E233" s="271">
        <f>4524487.13</f>
        <v>4524487.13</v>
      </c>
      <c r="F233" s="247">
        <f t="shared" si="96"/>
        <v>0</v>
      </c>
      <c r="I233" s="244"/>
      <c r="J233" s="244"/>
      <c r="K233" s="244"/>
      <c r="L233" s="244">
        <v>65955.94</v>
      </c>
      <c r="M233" s="233">
        <f t="shared" si="97"/>
        <v>65955.94</v>
      </c>
      <c r="O233" s="227"/>
      <c r="P233" s="227"/>
      <c r="Q233" s="227"/>
      <c r="R233" s="227">
        <v>16525</v>
      </c>
      <c r="S233" s="216">
        <f t="shared" si="98"/>
        <v>16525</v>
      </c>
      <c r="U233" s="210"/>
      <c r="V233" s="210"/>
      <c r="W233" s="210"/>
      <c r="X233" s="210">
        <v>9900</v>
      </c>
      <c r="Y233" s="199">
        <f t="shared" si="99"/>
        <v>9900</v>
      </c>
      <c r="AA233" s="192"/>
      <c r="AB233" s="192"/>
      <c r="AC233" s="192"/>
      <c r="AD233" s="192"/>
      <c r="AE233" s="181">
        <f t="shared" si="100"/>
        <v>0</v>
      </c>
      <c r="AG233" s="174"/>
      <c r="AH233" s="174"/>
      <c r="AI233" s="174"/>
      <c r="AJ233" s="174"/>
      <c r="AK233" s="163">
        <f t="shared" si="101"/>
        <v>0</v>
      </c>
      <c r="AM233" s="308">
        <v>0</v>
      </c>
      <c r="AN233" s="308">
        <v>0</v>
      </c>
      <c r="AO233" s="18">
        <f t="shared" si="102"/>
        <v>0</v>
      </c>
      <c r="AP233" s="308">
        <v>0</v>
      </c>
      <c r="AQ233" s="308">
        <v>2000</v>
      </c>
      <c r="AR233" s="107">
        <f t="shared" si="103"/>
        <v>2000</v>
      </c>
      <c r="AT233" s="279"/>
      <c r="AU233" s="279"/>
      <c r="AV233" s="279">
        <f t="shared" si="104"/>
        <v>0</v>
      </c>
      <c r="AW233" s="279">
        <f t="shared" si="104"/>
        <v>94380.94</v>
      </c>
      <c r="AX233" s="279">
        <f t="shared" si="105"/>
        <v>94380.94</v>
      </c>
      <c r="AY233" s="50">
        <v>6347320.21</v>
      </c>
      <c r="AZ233" s="137">
        <f>+AY233-F233</f>
        <v>6347320.21</v>
      </c>
    </row>
    <row r="234" spans="1:60" s="17" customFormat="1" ht="19.5" thickBot="1">
      <c r="A234" s="17" t="s">
        <v>244</v>
      </c>
      <c r="B234" s="255">
        <f>SUM(B227:B233)</f>
        <v>0</v>
      </c>
      <c r="C234" s="256">
        <f>SUM(C227:C233)</f>
        <v>0</v>
      </c>
      <c r="D234" s="255">
        <f>SUM(D227:D233)</f>
        <v>7537392.6899999995</v>
      </c>
      <c r="E234" s="255">
        <f>SUM(E227:E233)</f>
        <v>20579296.259999998</v>
      </c>
      <c r="F234" s="257">
        <f>SUM(F227:F233)</f>
        <v>0</v>
      </c>
      <c r="G234" s="106"/>
      <c r="H234" s="144"/>
      <c r="I234" s="236">
        <f>SUM(I227:I233)</f>
        <v>0</v>
      </c>
      <c r="J234" s="236">
        <f>SUM(J227:J233)</f>
        <v>0</v>
      </c>
      <c r="K234" s="236">
        <f>SUM(K227:K233)</f>
        <v>1380918.9300000002</v>
      </c>
      <c r="L234" s="236">
        <f>SUM(L227:L233)</f>
        <v>613627</v>
      </c>
      <c r="M234" s="236">
        <f>SUM(M227:M233)</f>
        <v>1994545.93</v>
      </c>
      <c r="N234" s="91"/>
      <c r="O234" s="218">
        <f>SUM(O227:O233)</f>
        <v>0</v>
      </c>
      <c r="P234" s="218">
        <f>SUM(P227:P233)</f>
        <v>0</v>
      </c>
      <c r="Q234" s="218">
        <f>SUM(Q227:Q233)</f>
        <v>148432</v>
      </c>
      <c r="R234" s="218">
        <f>SUM(R227:R233)</f>
        <v>17325</v>
      </c>
      <c r="S234" s="218">
        <f>SUM(S227:S233)</f>
        <v>165757</v>
      </c>
      <c r="T234" s="91"/>
      <c r="U234" s="201">
        <f>SUM(U227:U233)</f>
        <v>0</v>
      </c>
      <c r="V234" s="201">
        <f>SUM(V227:V233)</f>
        <v>0</v>
      </c>
      <c r="W234" s="201">
        <f>SUM(W227:W233)</f>
        <v>1484297.12</v>
      </c>
      <c r="X234" s="201">
        <f>SUM(X227:X233)</f>
        <v>204558.79</v>
      </c>
      <c r="Y234" s="201">
        <f>SUM(Y227:Y233)</f>
        <v>1688855.91</v>
      </c>
      <c r="Z234" s="91"/>
      <c r="AA234" s="183">
        <f>SUM(AA227:AA233)</f>
        <v>0</v>
      </c>
      <c r="AB234" s="183">
        <f>SUM(AB227:AB233)</f>
        <v>0</v>
      </c>
      <c r="AC234" s="183">
        <f>SUM(AC227:AC233)</f>
        <v>830209.6</v>
      </c>
      <c r="AD234" s="183">
        <f>SUM(AD227:AD233)</f>
        <v>1362773</v>
      </c>
      <c r="AE234" s="183">
        <f>SUM(AE227:AE233)</f>
        <v>2192982.6</v>
      </c>
      <c r="AF234" s="106"/>
      <c r="AG234" s="165">
        <f>SUM(AG227:AG233)</f>
        <v>0</v>
      </c>
      <c r="AH234" s="165">
        <f>SUM(AH227:AH233)</f>
        <v>0</v>
      </c>
      <c r="AI234" s="165">
        <f>SUM(AI227:AI233)</f>
        <v>795595.76</v>
      </c>
      <c r="AJ234" s="165">
        <f>SUM(AJ227:AJ233)</f>
        <v>1759637.55</v>
      </c>
      <c r="AK234" s="165">
        <f>SUM(AK227:AK233)</f>
        <v>2555233.31</v>
      </c>
      <c r="AL234" s="91"/>
      <c r="AM234" s="300">
        <f aca="true" t="shared" si="106" ref="AM234:AR234">SUM(AM227:AM233)</f>
        <v>905852.5</v>
      </c>
      <c r="AN234" s="300">
        <f t="shared" si="106"/>
        <v>464557.04000000004</v>
      </c>
      <c r="AO234" s="300">
        <f t="shared" si="106"/>
        <v>1370409.54</v>
      </c>
      <c r="AP234" s="300">
        <f t="shared" si="106"/>
        <v>806984</v>
      </c>
      <c r="AQ234" s="300">
        <f t="shared" si="106"/>
        <v>1305029.6</v>
      </c>
      <c r="AR234" s="300">
        <f t="shared" si="106"/>
        <v>2112013.6</v>
      </c>
      <c r="AS234" s="91"/>
      <c r="AT234" s="281">
        <f>SUM(AT227:AT233)</f>
        <v>0</v>
      </c>
      <c r="AU234" s="281">
        <f>SUM(AU227:AU233)</f>
        <v>0</v>
      </c>
      <c r="AV234" s="281">
        <f>SUM(AV227:AV233)</f>
        <v>5446437.41</v>
      </c>
      <c r="AW234" s="281">
        <f>SUM(AW227:AW233)</f>
        <v>5262950.94</v>
      </c>
      <c r="AX234" s="281">
        <f>SUM(AX227:AX233)</f>
        <v>10709388.350000001</v>
      </c>
      <c r="AY234" s="91"/>
      <c r="AZ234" s="144"/>
      <c r="BA234" s="91"/>
      <c r="BB234" s="91"/>
      <c r="BC234" s="91"/>
      <c r="BD234" s="91"/>
      <c r="BE234" s="91"/>
      <c r="BF234" s="91"/>
      <c r="BG234" s="91"/>
      <c r="BH234" s="91"/>
    </row>
    <row r="235" spans="2:60" s="17" customFormat="1" ht="19.5" thickTop="1">
      <c r="B235" s="247"/>
      <c r="C235" s="247"/>
      <c r="D235" s="247"/>
      <c r="E235" s="247"/>
      <c r="F235" s="247"/>
      <c r="G235" s="106"/>
      <c r="H235" s="144"/>
      <c r="I235" s="231"/>
      <c r="J235" s="231"/>
      <c r="K235" s="231"/>
      <c r="L235" s="231"/>
      <c r="M235" s="231"/>
      <c r="N235" s="91"/>
      <c r="O235" s="214"/>
      <c r="P235" s="214"/>
      <c r="Q235" s="214"/>
      <c r="R235" s="214"/>
      <c r="S235" s="214"/>
      <c r="T235" s="91"/>
      <c r="U235" s="197"/>
      <c r="V235" s="197"/>
      <c r="W235" s="197"/>
      <c r="X235" s="197"/>
      <c r="Y235" s="197"/>
      <c r="Z235" s="91"/>
      <c r="AA235" s="179"/>
      <c r="AB235" s="179"/>
      <c r="AC235" s="179"/>
      <c r="AD235" s="179"/>
      <c r="AE235" s="179"/>
      <c r="AF235" s="106"/>
      <c r="AG235" s="161"/>
      <c r="AH235" s="161"/>
      <c r="AI235" s="161"/>
      <c r="AJ235" s="161"/>
      <c r="AK235" s="161"/>
      <c r="AL235" s="91"/>
      <c r="AM235" s="106"/>
      <c r="AN235" s="106"/>
      <c r="AO235" s="106"/>
      <c r="AP235" s="106"/>
      <c r="AQ235" s="106"/>
      <c r="AR235" s="106"/>
      <c r="AS235" s="91"/>
      <c r="AT235" s="277"/>
      <c r="AU235" s="277"/>
      <c r="AV235" s="277"/>
      <c r="AW235" s="277"/>
      <c r="AX235" s="277"/>
      <c r="AY235" s="91"/>
      <c r="AZ235" s="144"/>
      <c r="BA235" s="91"/>
      <c r="BB235" s="91"/>
      <c r="BC235" s="91"/>
      <c r="BD235" s="91"/>
      <c r="BE235" s="91"/>
      <c r="BF235" s="91"/>
      <c r="BG235" s="91"/>
      <c r="BH235" s="91"/>
    </row>
    <row r="236" spans="2:60" s="17" customFormat="1" ht="18.75">
      <c r="B236" s="247"/>
      <c r="C236" s="247"/>
      <c r="D236" s="247"/>
      <c r="E236" s="247"/>
      <c r="F236" s="247"/>
      <c r="G236" s="106"/>
      <c r="H236" s="144"/>
      <c r="I236" s="231"/>
      <c r="J236" s="231"/>
      <c r="K236" s="231"/>
      <c r="L236" s="231"/>
      <c r="M236" s="231"/>
      <c r="N236" s="91"/>
      <c r="O236" s="214"/>
      <c r="P236" s="214"/>
      <c r="Q236" s="214"/>
      <c r="R236" s="214"/>
      <c r="S236" s="214"/>
      <c r="T236" s="91"/>
      <c r="U236" s="197"/>
      <c r="V236" s="197"/>
      <c r="W236" s="197"/>
      <c r="X236" s="197"/>
      <c r="Y236" s="197"/>
      <c r="Z236" s="91"/>
      <c r="AA236" s="179"/>
      <c r="AB236" s="179"/>
      <c r="AC236" s="179"/>
      <c r="AD236" s="179"/>
      <c r="AE236" s="179"/>
      <c r="AF236" s="106"/>
      <c r="AG236" s="161"/>
      <c r="AH236" s="161"/>
      <c r="AI236" s="161"/>
      <c r="AJ236" s="161"/>
      <c r="AK236" s="161"/>
      <c r="AL236" s="91"/>
      <c r="AM236" s="106"/>
      <c r="AN236" s="106"/>
      <c r="AO236" s="106"/>
      <c r="AP236" s="106"/>
      <c r="AQ236" s="106"/>
      <c r="AR236" s="106"/>
      <c r="AS236" s="91"/>
      <c r="AT236" s="277"/>
      <c r="AU236" s="277"/>
      <c r="AV236" s="277"/>
      <c r="AW236" s="277"/>
      <c r="AX236" s="277"/>
      <c r="AY236" s="91"/>
      <c r="AZ236" s="144"/>
      <c r="BA236" s="91"/>
      <c r="BB236" s="91"/>
      <c r="BC236" s="91"/>
      <c r="BD236" s="91"/>
      <c r="BE236" s="91"/>
      <c r="BF236" s="91"/>
      <c r="BG236" s="91"/>
      <c r="BH236" s="91"/>
    </row>
    <row r="237" spans="1:50" ht="18.75">
      <c r="A237" s="51" t="s">
        <v>478</v>
      </c>
      <c r="B237" s="248" t="s">
        <v>56</v>
      </c>
      <c r="C237" s="249" t="s">
        <v>57</v>
      </c>
      <c r="D237" s="248" t="s">
        <v>56</v>
      </c>
      <c r="E237" s="248" t="s">
        <v>57</v>
      </c>
      <c r="F237" s="250"/>
      <c r="G237" s="97"/>
      <c r="I237" s="232" t="s">
        <v>56</v>
      </c>
      <c r="J237" s="232" t="s">
        <v>57</v>
      </c>
      <c r="K237" s="232" t="s">
        <v>56</v>
      </c>
      <c r="L237" s="232" t="s">
        <v>57</v>
      </c>
      <c r="M237" s="232" t="s">
        <v>101</v>
      </c>
      <c r="O237" s="215" t="s">
        <v>56</v>
      </c>
      <c r="P237" s="215" t="s">
        <v>57</v>
      </c>
      <c r="Q237" s="215" t="s">
        <v>56</v>
      </c>
      <c r="R237" s="215" t="s">
        <v>57</v>
      </c>
      <c r="S237" s="215" t="s">
        <v>101</v>
      </c>
      <c r="U237" s="198" t="s">
        <v>56</v>
      </c>
      <c r="V237" s="198" t="s">
        <v>57</v>
      </c>
      <c r="W237" s="198" t="s">
        <v>56</v>
      </c>
      <c r="X237" s="198" t="s">
        <v>57</v>
      </c>
      <c r="Y237" s="198" t="s">
        <v>101</v>
      </c>
      <c r="AA237" s="180" t="s">
        <v>56</v>
      </c>
      <c r="AB237" s="180" t="s">
        <v>57</v>
      </c>
      <c r="AC237" s="180" t="s">
        <v>56</v>
      </c>
      <c r="AD237" s="180" t="s">
        <v>57</v>
      </c>
      <c r="AE237" s="180" t="s">
        <v>101</v>
      </c>
      <c r="AF237" s="97"/>
      <c r="AG237" s="162" t="s">
        <v>56</v>
      </c>
      <c r="AH237" s="162" t="s">
        <v>57</v>
      </c>
      <c r="AI237" s="162" t="s">
        <v>56</v>
      </c>
      <c r="AJ237" s="162" t="s">
        <v>57</v>
      </c>
      <c r="AK237" s="162" t="s">
        <v>101</v>
      </c>
      <c r="AM237" s="18" t="s">
        <v>56</v>
      </c>
      <c r="AN237" s="18" t="s">
        <v>57</v>
      </c>
      <c r="AO237" s="18" t="s">
        <v>101</v>
      </c>
      <c r="AP237" s="18" t="s">
        <v>56</v>
      </c>
      <c r="AQ237" s="18" t="s">
        <v>57</v>
      </c>
      <c r="AR237" s="18" t="s">
        <v>101</v>
      </c>
      <c r="AT237" s="278" t="s">
        <v>56</v>
      </c>
      <c r="AU237" s="278" t="s">
        <v>57</v>
      </c>
      <c r="AV237" s="278" t="s">
        <v>56</v>
      </c>
      <c r="AW237" s="278" t="s">
        <v>57</v>
      </c>
      <c r="AX237" s="278" t="s">
        <v>101</v>
      </c>
    </row>
    <row r="238" spans="1:50" ht="18.75">
      <c r="A238" s="43" t="s">
        <v>95</v>
      </c>
      <c r="B238" s="251"/>
      <c r="C238" s="252"/>
      <c r="D238" s="251">
        <f>35091120.68</f>
        <v>35091120.68</v>
      </c>
      <c r="E238" s="251">
        <f>10581223.47</f>
        <v>10581223.47</v>
      </c>
      <c r="F238" s="247">
        <f>SUM(B238:C238)</f>
        <v>0</v>
      </c>
      <c r="I238" s="233"/>
      <c r="J238" s="233"/>
      <c r="K238" s="233">
        <v>11180435.92</v>
      </c>
      <c r="L238" s="233">
        <v>1644360.21</v>
      </c>
      <c r="M238" s="233">
        <f>SUM(K238:L238)</f>
        <v>12824796.129999999</v>
      </c>
      <c r="O238" s="216"/>
      <c r="P238" s="216"/>
      <c r="Q238" s="216">
        <v>429606.6</v>
      </c>
      <c r="R238" s="216">
        <v>160742.15</v>
      </c>
      <c r="S238" s="216">
        <f>SUM(Q238:R238)</f>
        <v>590348.75</v>
      </c>
      <c r="U238" s="199"/>
      <c r="V238" s="199"/>
      <c r="W238" s="199">
        <v>4298583.3</v>
      </c>
      <c r="X238" s="199">
        <v>2955651.9</v>
      </c>
      <c r="Y238" s="199">
        <f>SUM(W238:X238)</f>
        <v>7254235.199999999</v>
      </c>
      <c r="AA238" s="181"/>
      <c r="AB238" s="181"/>
      <c r="AC238" s="181">
        <v>3776116.01</v>
      </c>
      <c r="AD238" s="181">
        <v>2191585.04</v>
      </c>
      <c r="AE238" s="181">
        <f>SUM(AC238:AD238)</f>
        <v>5967701.05</v>
      </c>
      <c r="AG238" s="163"/>
      <c r="AH238" s="163"/>
      <c r="AI238" s="163">
        <v>9316255.47</v>
      </c>
      <c r="AJ238" s="163">
        <v>2988455.7</v>
      </c>
      <c r="AK238" s="163">
        <f>SUM(AI238:AJ238)</f>
        <v>12304711.170000002</v>
      </c>
      <c r="AM238" s="107">
        <v>4866008.96</v>
      </c>
      <c r="AN238" s="107">
        <v>3207805.93</v>
      </c>
      <c r="AO238" s="18">
        <f aca="true" t="shared" si="107" ref="AO238:AO256">SUM(AM238:AN238)</f>
        <v>8073814.890000001</v>
      </c>
      <c r="AP238" s="107">
        <v>6792858.55</v>
      </c>
      <c r="AQ238" s="107">
        <v>2764955.22</v>
      </c>
      <c r="AR238" s="107">
        <f>SUM(AP238:AQ238)</f>
        <v>9557813.77</v>
      </c>
      <c r="AT238" s="279"/>
      <c r="AU238" s="279"/>
      <c r="AV238" s="279">
        <f aca="true" t="shared" si="108" ref="AV238:AV256">+B238+K238+Q238+W238+AC238+AI238+AP238</f>
        <v>35793855.849999994</v>
      </c>
      <c r="AW238" s="279">
        <f aca="true" t="shared" si="109" ref="AW238:AW256">+C238+L238+R238+X238+AD238+AJ238+AQ238</f>
        <v>12705750.22</v>
      </c>
      <c r="AX238" s="279">
        <f>SUM(AV238:AW238)</f>
        <v>48499606.06999999</v>
      </c>
    </row>
    <row r="239" spans="1:50" ht="18.75">
      <c r="A239" s="43" t="s">
        <v>139</v>
      </c>
      <c r="B239" s="271"/>
      <c r="C239" s="272"/>
      <c r="D239" s="271">
        <v>116618.42</v>
      </c>
      <c r="E239" s="271">
        <v>564138.83</v>
      </c>
      <c r="F239" s="247">
        <f aca="true" t="shared" si="110" ref="F239:F256">SUM(B239:C239)</f>
        <v>0</v>
      </c>
      <c r="I239" s="244"/>
      <c r="J239" s="244"/>
      <c r="K239" s="244">
        <v>1819786.62</v>
      </c>
      <c r="L239" s="244">
        <v>25860</v>
      </c>
      <c r="M239" s="233">
        <f aca="true" t="shared" si="111" ref="M239:M256">SUM(K239:L239)</f>
        <v>1845646.62</v>
      </c>
      <c r="O239" s="227"/>
      <c r="P239" s="227"/>
      <c r="Q239" s="227">
        <v>1284291.54</v>
      </c>
      <c r="R239" s="227">
        <v>0</v>
      </c>
      <c r="S239" s="216">
        <f aca="true" t="shared" si="112" ref="S239:S244">SUM(Q239:R239)</f>
        <v>1284291.54</v>
      </c>
      <c r="U239" s="210"/>
      <c r="V239" s="210"/>
      <c r="W239" s="210">
        <v>1380716.16</v>
      </c>
      <c r="X239" s="210">
        <v>249350</v>
      </c>
      <c r="Y239" s="199">
        <f aca="true" t="shared" si="113" ref="Y239:Y244">SUM(W239:X239)</f>
        <v>1630066.16</v>
      </c>
      <c r="AA239" s="192"/>
      <c r="AB239" s="192"/>
      <c r="AC239" s="192">
        <v>1163121.73</v>
      </c>
      <c r="AD239" s="192">
        <v>15400</v>
      </c>
      <c r="AE239" s="181">
        <f aca="true" t="shared" si="114" ref="AE239:AE244">SUM(AC239:AD239)</f>
        <v>1178521.73</v>
      </c>
      <c r="AG239" s="174"/>
      <c r="AH239" s="174"/>
      <c r="AI239" s="174">
        <v>562908.93</v>
      </c>
      <c r="AJ239" s="174">
        <v>704392.71</v>
      </c>
      <c r="AK239" s="163">
        <f aca="true" t="shared" si="115" ref="AK239:AK244">SUM(AI239:AJ239)</f>
        <v>1267301.6400000001</v>
      </c>
      <c r="AM239" s="308">
        <v>2268899.34</v>
      </c>
      <c r="AN239" s="308">
        <v>37953.42</v>
      </c>
      <c r="AO239" s="18">
        <f t="shared" si="107"/>
        <v>2306852.76</v>
      </c>
      <c r="AP239" s="308">
        <v>581560.01</v>
      </c>
      <c r="AQ239" s="308">
        <v>426635.04</v>
      </c>
      <c r="AR239" s="107">
        <f aca="true" t="shared" si="116" ref="AR239:AR244">SUM(AP239:AQ239)</f>
        <v>1008195.05</v>
      </c>
      <c r="AT239" s="279"/>
      <c r="AU239" s="279"/>
      <c r="AV239" s="279">
        <f t="shared" si="108"/>
        <v>6792384.99</v>
      </c>
      <c r="AW239" s="279">
        <f t="shared" si="109"/>
        <v>1421637.75</v>
      </c>
      <c r="AX239" s="279">
        <f>SUM(AV239:AW239)</f>
        <v>8214022.74</v>
      </c>
    </row>
    <row r="240" spans="1:50" ht="18.75">
      <c r="A240" s="43" t="s">
        <v>138</v>
      </c>
      <c r="B240" s="251"/>
      <c r="C240" s="252"/>
      <c r="D240" s="251">
        <v>14152</v>
      </c>
      <c r="E240" s="251">
        <v>0</v>
      </c>
      <c r="F240" s="247">
        <f>SUM(B240:C240)</f>
        <v>0</v>
      </c>
      <c r="I240" s="233"/>
      <c r="J240" s="233"/>
      <c r="K240" s="233">
        <v>387356.41</v>
      </c>
      <c r="L240" s="233">
        <v>0</v>
      </c>
      <c r="M240" s="233">
        <f t="shared" si="111"/>
        <v>387356.41</v>
      </c>
      <c r="O240" s="216"/>
      <c r="P240" s="216"/>
      <c r="Q240" s="216">
        <v>199603.19</v>
      </c>
      <c r="R240" s="216">
        <v>3316</v>
      </c>
      <c r="S240" s="216">
        <f t="shared" si="112"/>
        <v>202919.19</v>
      </c>
      <c r="U240" s="199"/>
      <c r="V240" s="199"/>
      <c r="W240" s="199">
        <v>245822.7</v>
      </c>
      <c r="X240" s="199">
        <v>0</v>
      </c>
      <c r="Y240" s="199">
        <f t="shared" si="113"/>
        <v>245822.7</v>
      </c>
      <c r="AA240" s="181"/>
      <c r="AB240" s="181"/>
      <c r="AC240" s="181">
        <v>325915.8</v>
      </c>
      <c r="AD240" s="181">
        <v>0</v>
      </c>
      <c r="AE240" s="181">
        <f t="shared" si="114"/>
        <v>325915.8</v>
      </c>
      <c r="AG240" s="163"/>
      <c r="AH240" s="163"/>
      <c r="AI240" s="163">
        <v>0</v>
      </c>
      <c r="AJ240" s="163">
        <v>10558</v>
      </c>
      <c r="AK240" s="163">
        <f t="shared" si="115"/>
        <v>10558</v>
      </c>
      <c r="AM240" s="107">
        <v>323345.72</v>
      </c>
      <c r="AN240" s="107">
        <v>0</v>
      </c>
      <c r="AO240" s="18">
        <f t="shared" si="107"/>
        <v>323345.72</v>
      </c>
      <c r="AP240" s="107">
        <v>489367.9</v>
      </c>
      <c r="AQ240" s="107">
        <v>0</v>
      </c>
      <c r="AR240" s="107">
        <f t="shared" si="116"/>
        <v>489367.9</v>
      </c>
      <c r="AT240" s="279"/>
      <c r="AU240" s="279"/>
      <c r="AV240" s="279">
        <f t="shared" si="108"/>
        <v>1648066</v>
      </c>
      <c r="AW240" s="279">
        <f t="shared" si="109"/>
        <v>13874</v>
      </c>
      <c r="AX240" s="279">
        <f>SUM(AV240:AW240)</f>
        <v>1661940</v>
      </c>
    </row>
    <row r="241" spans="1:52" ht="18.75">
      <c r="A241" s="43" t="s">
        <v>140</v>
      </c>
      <c r="B241" s="271"/>
      <c r="C241" s="272"/>
      <c r="D241" s="271">
        <f>41608392.97</f>
        <v>41608392.97</v>
      </c>
      <c r="E241" s="271">
        <f>40251645.31+636000</f>
        <v>40887645.31</v>
      </c>
      <c r="F241" s="247">
        <f>SUM(B241:C241)</f>
        <v>0</v>
      </c>
      <c r="I241" s="244"/>
      <c r="J241" s="244"/>
      <c r="K241" s="244">
        <v>3197345</v>
      </c>
      <c r="L241" s="244">
        <v>450690</v>
      </c>
      <c r="M241" s="233">
        <f t="shared" si="111"/>
        <v>3648035</v>
      </c>
      <c r="O241" s="227"/>
      <c r="P241" s="227"/>
      <c r="Q241" s="227">
        <v>219218.61</v>
      </c>
      <c r="R241" s="227">
        <v>26450</v>
      </c>
      <c r="S241" s="216">
        <f t="shared" si="112"/>
        <v>245668.61</v>
      </c>
      <c r="U241" s="210"/>
      <c r="V241" s="210"/>
      <c r="W241" s="210">
        <v>5102211.5</v>
      </c>
      <c r="X241" s="210">
        <v>844400</v>
      </c>
      <c r="Y241" s="199">
        <f t="shared" si="113"/>
        <v>5946611.5</v>
      </c>
      <c r="AA241" s="192"/>
      <c r="AB241" s="192"/>
      <c r="AC241" s="192">
        <v>6822228.32</v>
      </c>
      <c r="AD241" s="192">
        <v>765891</v>
      </c>
      <c r="AE241" s="181">
        <f t="shared" si="114"/>
        <v>7588119.32</v>
      </c>
      <c r="AG241" s="174"/>
      <c r="AH241" s="174"/>
      <c r="AI241" s="174">
        <v>4848440.21</v>
      </c>
      <c r="AJ241" s="174">
        <v>1723707.5</v>
      </c>
      <c r="AK241" s="163">
        <f t="shared" si="115"/>
        <v>6572147.71</v>
      </c>
      <c r="AM241" s="308">
        <f>3194827.27-AM242</f>
        <v>3181327.27</v>
      </c>
      <c r="AN241" s="308">
        <v>554268</v>
      </c>
      <c r="AO241" s="18">
        <f t="shared" si="107"/>
        <v>3735595.27</v>
      </c>
      <c r="AP241" s="308">
        <v>2404721.95</v>
      </c>
      <c r="AQ241" s="308">
        <v>957110.5</v>
      </c>
      <c r="AR241" s="107">
        <f t="shared" si="116"/>
        <v>3361832.45</v>
      </c>
      <c r="AT241" s="279"/>
      <c r="AU241" s="279"/>
      <c r="AV241" s="279">
        <f t="shared" si="108"/>
        <v>22594165.59</v>
      </c>
      <c r="AW241" s="279">
        <f t="shared" si="109"/>
        <v>4768249</v>
      </c>
      <c r="AX241" s="279">
        <f>SUM(AV241:AW241)</f>
        <v>27362414.59</v>
      </c>
      <c r="AY241" s="50">
        <v>82496038.28</v>
      </c>
      <c r="AZ241" s="137">
        <f>+F241-AY241</f>
        <v>-82496038.28</v>
      </c>
    </row>
    <row r="242" spans="1:50" ht="18.75">
      <c r="A242" s="43" t="s">
        <v>247</v>
      </c>
      <c r="B242" s="271"/>
      <c r="C242" s="272"/>
      <c r="D242" s="271">
        <v>0</v>
      </c>
      <c r="E242" s="271">
        <v>0</v>
      </c>
      <c r="F242" s="247">
        <f t="shared" si="110"/>
        <v>0</v>
      </c>
      <c r="I242" s="244"/>
      <c r="J242" s="244"/>
      <c r="K242" s="244"/>
      <c r="L242" s="244"/>
      <c r="M242" s="233">
        <f t="shared" si="111"/>
        <v>0</v>
      </c>
      <c r="O242" s="227"/>
      <c r="P242" s="227"/>
      <c r="Q242" s="227"/>
      <c r="R242" s="227"/>
      <c r="S242" s="216">
        <f t="shared" si="112"/>
        <v>0</v>
      </c>
      <c r="U242" s="210"/>
      <c r="V242" s="210"/>
      <c r="W242" s="210"/>
      <c r="X242" s="210"/>
      <c r="Y242" s="199">
        <f t="shared" si="113"/>
        <v>0</v>
      </c>
      <c r="AA242" s="192"/>
      <c r="AB242" s="192"/>
      <c r="AC242" s="192"/>
      <c r="AD242" s="192"/>
      <c r="AE242" s="181">
        <f t="shared" si="114"/>
        <v>0</v>
      </c>
      <c r="AG242" s="174"/>
      <c r="AH242" s="174"/>
      <c r="AI242" s="174"/>
      <c r="AJ242" s="174"/>
      <c r="AK242" s="163">
        <f t="shared" si="115"/>
        <v>0</v>
      </c>
      <c r="AM242" s="308">
        <v>13500</v>
      </c>
      <c r="AN242" s="308">
        <v>0</v>
      </c>
      <c r="AO242" s="18">
        <f t="shared" si="107"/>
        <v>13500</v>
      </c>
      <c r="AP242" s="308">
        <v>18000</v>
      </c>
      <c r="AQ242" s="308">
        <v>0</v>
      </c>
      <c r="AR242" s="107">
        <f t="shared" si="116"/>
        <v>18000</v>
      </c>
      <c r="AT242" s="279"/>
      <c r="AU242" s="279"/>
      <c r="AV242" s="279">
        <f t="shared" si="108"/>
        <v>18000</v>
      </c>
      <c r="AW242" s="279">
        <f t="shared" si="109"/>
        <v>0</v>
      </c>
      <c r="AX242" s="279">
        <f aca="true" t="shared" si="117" ref="AX242:AX256">SUM(AV242:AW242)</f>
        <v>18000</v>
      </c>
    </row>
    <row r="243" spans="1:50" ht="18.75">
      <c r="A243" s="43" t="s">
        <v>248</v>
      </c>
      <c r="B243" s="271"/>
      <c r="C243" s="252"/>
      <c r="D243" s="271">
        <v>0</v>
      </c>
      <c r="E243" s="251">
        <v>0</v>
      </c>
      <c r="F243" s="247">
        <f t="shared" si="110"/>
        <v>0</v>
      </c>
      <c r="I243" s="244"/>
      <c r="J243" s="233"/>
      <c r="K243" s="244"/>
      <c r="L243" s="233">
        <v>20000</v>
      </c>
      <c r="M243" s="233">
        <f t="shared" si="111"/>
        <v>20000</v>
      </c>
      <c r="O243" s="227"/>
      <c r="P243" s="216"/>
      <c r="Q243" s="227"/>
      <c r="R243" s="216"/>
      <c r="S243" s="216">
        <f t="shared" si="112"/>
        <v>0</v>
      </c>
      <c r="U243" s="210"/>
      <c r="V243" s="199"/>
      <c r="W243" s="210">
        <v>0</v>
      </c>
      <c r="X243" s="199"/>
      <c r="Y243" s="199">
        <f t="shared" si="113"/>
        <v>0</v>
      </c>
      <c r="AA243" s="192"/>
      <c r="AB243" s="181"/>
      <c r="AC243" s="192"/>
      <c r="AD243" s="181"/>
      <c r="AE243" s="181">
        <f t="shared" si="114"/>
        <v>0</v>
      </c>
      <c r="AG243" s="174"/>
      <c r="AH243" s="163"/>
      <c r="AI243" s="174"/>
      <c r="AJ243" s="163"/>
      <c r="AK243" s="163">
        <f t="shared" si="115"/>
        <v>0</v>
      </c>
      <c r="AM243" s="308">
        <v>2079416.13</v>
      </c>
      <c r="AN243" s="107">
        <v>0</v>
      </c>
      <c r="AO243" s="18">
        <f t="shared" si="107"/>
        <v>2079416.13</v>
      </c>
      <c r="AP243" s="308">
        <v>0</v>
      </c>
      <c r="AQ243" s="107">
        <v>0</v>
      </c>
      <c r="AR243" s="107">
        <f t="shared" si="116"/>
        <v>0</v>
      </c>
      <c r="AT243" s="279"/>
      <c r="AU243" s="279"/>
      <c r="AV243" s="279">
        <f t="shared" si="108"/>
        <v>0</v>
      </c>
      <c r="AW243" s="279">
        <f t="shared" si="109"/>
        <v>20000</v>
      </c>
      <c r="AX243" s="279">
        <f t="shared" si="117"/>
        <v>20000</v>
      </c>
    </row>
    <row r="244" spans="1:50" ht="18.75">
      <c r="A244" s="43" t="s">
        <v>349</v>
      </c>
      <c r="B244" s="271"/>
      <c r="C244" s="272"/>
      <c r="D244" s="271">
        <f>4837401</f>
        <v>4837401</v>
      </c>
      <c r="E244" s="271">
        <v>38057868.33</v>
      </c>
      <c r="F244" s="247">
        <f t="shared" si="110"/>
        <v>0</v>
      </c>
      <c r="I244" s="244"/>
      <c r="K244" s="244">
        <v>436000</v>
      </c>
      <c r="L244" s="240">
        <v>3345293</v>
      </c>
      <c r="M244" s="233">
        <f t="shared" si="111"/>
        <v>3781293</v>
      </c>
      <c r="O244" s="227"/>
      <c r="Q244" s="227"/>
      <c r="S244" s="216">
        <f t="shared" si="112"/>
        <v>0</v>
      </c>
      <c r="U244" s="210"/>
      <c r="W244" s="210">
        <v>397750</v>
      </c>
      <c r="X244" s="205">
        <v>1215924.97</v>
      </c>
      <c r="Y244" s="199">
        <f t="shared" si="113"/>
        <v>1613674.97</v>
      </c>
      <c r="AA244" s="192"/>
      <c r="AC244" s="192">
        <v>2266000</v>
      </c>
      <c r="AD244" s="187">
        <v>2548741</v>
      </c>
      <c r="AE244" s="181">
        <f t="shared" si="114"/>
        <v>4814741</v>
      </c>
      <c r="AG244" s="174"/>
      <c r="AH244" s="174"/>
      <c r="AI244" s="174">
        <v>3389260</v>
      </c>
      <c r="AJ244" s="174">
        <v>11039975.55</v>
      </c>
      <c r="AK244" s="163">
        <f t="shared" si="115"/>
        <v>14429235.55</v>
      </c>
      <c r="AM244" s="308">
        <v>200650</v>
      </c>
      <c r="AN244" s="93">
        <v>6964997</v>
      </c>
      <c r="AO244" s="18">
        <f t="shared" si="107"/>
        <v>7165647</v>
      </c>
      <c r="AP244" s="308">
        <v>670000</v>
      </c>
      <c r="AQ244" s="93">
        <v>1749468</v>
      </c>
      <c r="AR244" s="107">
        <f t="shared" si="116"/>
        <v>2419468</v>
      </c>
      <c r="AT244" s="279"/>
      <c r="AU244" s="279"/>
      <c r="AV244" s="279">
        <f t="shared" si="108"/>
        <v>7159010</v>
      </c>
      <c r="AW244" s="279">
        <f t="shared" si="109"/>
        <v>19899402.52</v>
      </c>
      <c r="AX244" s="279">
        <f t="shared" si="117"/>
        <v>27058412.52</v>
      </c>
    </row>
    <row r="245" spans="1:50" ht="18.75">
      <c r="A245" s="43" t="s">
        <v>249</v>
      </c>
      <c r="B245" s="271"/>
      <c r="C245" s="272"/>
      <c r="D245" s="271">
        <v>0</v>
      </c>
      <c r="E245" s="271">
        <v>0</v>
      </c>
      <c r="F245" s="247">
        <f t="shared" si="110"/>
        <v>0</v>
      </c>
      <c r="I245" s="244"/>
      <c r="J245" s="244"/>
      <c r="K245" s="244"/>
      <c r="L245" s="244">
        <v>30000</v>
      </c>
      <c r="M245" s="233">
        <f>SUM(K245:L245)</f>
        <v>30000</v>
      </c>
      <c r="O245" s="227"/>
      <c r="P245" s="227"/>
      <c r="Q245" s="227"/>
      <c r="R245" s="227"/>
      <c r="S245" s="216">
        <f>SUM(Q245:R245)</f>
        <v>0</v>
      </c>
      <c r="U245" s="210"/>
      <c r="V245" s="210"/>
      <c r="W245" s="210"/>
      <c r="X245" s="210"/>
      <c r="Y245" s="199">
        <f>SUM(W245:X245)</f>
        <v>0</v>
      </c>
      <c r="AA245" s="192"/>
      <c r="AB245" s="192"/>
      <c r="AC245" s="192"/>
      <c r="AD245" s="192">
        <v>200514</v>
      </c>
      <c r="AE245" s="181">
        <f>SUM(AC245:AD245)</f>
        <v>200514</v>
      </c>
      <c r="AG245" s="174"/>
      <c r="AH245" s="174"/>
      <c r="AI245" s="174"/>
      <c r="AJ245" s="174"/>
      <c r="AK245" s="163">
        <f>SUM(AI245:AJ245)</f>
        <v>0</v>
      </c>
      <c r="AM245" s="308">
        <v>350400</v>
      </c>
      <c r="AN245" s="308">
        <v>169679.25</v>
      </c>
      <c r="AO245" s="18">
        <f t="shared" si="107"/>
        <v>520079.25</v>
      </c>
      <c r="AP245" s="308">
        <v>0</v>
      </c>
      <c r="AQ245" s="308">
        <v>0</v>
      </c>
      <c r="AR245" s="107">
        <f>SUM(AP245:AQ245)</f>
        <v>0</v>
      </c>
      <c r="AT245" s="279"/>
      <c r="AU245" s="279"/>
      <c r="AV245" s="279">
        <f t="shared" si="108"/>
        <v>0</v>
      </c>
      <c r="AW245" s="279">
        <f t="shared" si="109"/>
        <v>230514</v>
      </c>
      <c r="AX245" s="279">
        <f>SUM(AV245:AW245)</f>
        <v>230514</v>
      </c>
    </row>
    <row r="246" spans="1:50" ht="18.75">
      <c r="A246" s="43" t="s">
        <v>137</v>
      </c>
      <c r="B246" s="271"/>
      <c r="C246" s="272"/>
      <c r="D246" s="271">
        <v>0</v>
      </c>
      <c r="E246" s="271">
        <v>2991620</v>
      </c>
      <c r="F246" s="247">
        <f t="shared" si="110"/>
        <v>0</v>
      </c>
      <c r="I246" s="244"/>
      <c r="J246" s="244"/>
      <c r="K246" s="244"/>
      <c r="L246" s="244"/>
      <c r="M246" s="233">
        <f t="shared" si="111"/>
        <v>0</v>
      </c>
      <c r="O246" s="227"/>
      <c r="P246" s="227"/>
      <c r="Q246" s="227"/>
      <c r="R246" s="227"/>
      <c r="S246" s="216">
        <f aca="true" t="shared" si="118" ref="S246:S256">SUM(Q246:R246)</f>
        <v>0</v>
      </c>
      <c r="U246" s="210"/>
      <c r="V246" s="210"/>
      <c r="W246" s="210"/>
      <c r="X246" s="210"/>
      <c r="Y246" s="199">
        <f aca="true" t="shared" si="119" ref="Y246:Y256">SUM(W246:X246)</f>
        <v>0</v>
      </c>
      <c r="AA246" s="192"/>
      <c r="AB246" s="192"/>
      <c r="AC246" s="192">
        <v>3600</v>
      </c>
      <c r="AD246" s="192">
        <v>40000</v>
      </c>
      <c r="AE246" s="181">
        <f aca="true" t="shared" si="120" ref="AE246:AE256">SUM(AC246:AD246)</f>
        <v>43600</v>
      </c>
      <c r="AG246" s="174"/>
      <c r="AH246" s="174"/>
      <c r="AI246" s="174"/>
      <c r="AJ246" s="174"/>
      <c r="AK246" s="163">
        <f aca="true" t="shared" si="121" ref="AK246:AK256">SUM(AI246:AJ246)</f>
        <v>0</v>
      </c>
      <c r="AM246" s="308">
        <v>0</v>
      </c>
      <c r="AN246" s="308">
        <v>0</v>
      </c>
      <c r="AO246" s="18">
        <f t="shared" si="107"/>
        <v>0</v>
      </c>
      <c r="AP246" s="308">
        <v>0</v>
      </c>
      <c r="AQ246" s="308">
        <v>0</v>
      </c>
      <c r="AR246" s="107">
        <f aca="true" t="shared" si="122" ref="AR246:AR256">SUM(AP246:AQ246)</f>
        <v>0</v>
      </c>
      <c r="AT246" s="279"/>
      <c r="AU246" s="279"/>
      <c r="AV246" s="279">
        <f t="shared" si="108"/>
        <v>3600</v>
      </c>
      <c r="AW246" s="279">
        <f t="shared" si="109"/>
        <v>40000</v>
      </c>
      <c r="AX246" s="279">
        <f t="shared" si="117"/>
        <v>43600</v>
      </c>
    </row>
    <row r="247" spans="1:50" ht="18.75">
      <c r="A247" s="43" t="s">
        <v>250</v>
      </c>
      <c r="B247" s="271"/>
      <c r="C247" s="272"/>
      <c r="D247" s="271">
        <v>0</v>
      </c>
      <c r="E247" s="271">
        <v>0</v>
      </c>
      <c r="F247" s="247">
        <f t="shared" si="110"/>
        <v>0</v>
      </c>
      <c r="I247" s="244"/>
      <c r="J247" s="244"/>
      <c r="K247" s="244"/>
      <c r="L247" s="244"/>
      <c r="M247" s="233">
        <f t="shared" si="111"/>
        <v>0</v>
      </c>
      <c r="O247" s="227"/>
      <c r="P247" s="227"/>
      <c r="Q247" s="227">
        <v>6000</v>
      </c>
      <c r="R247" s="227">
        <v>6756.75</v>
      </c>
      <c r="S247" s="216">
        <f t="shared" si="118"/>
        <v>12756.75</v>
      </c>
      <c r="U247" s="210"/>
      <c r="V247" s="210"/>
      <c r="W247" s="210"/>
      <c r="X247" s="210"/>
      <c r="Y247" s="199">
        <f t="shared" si="119"/>
        <v>0</v>
      </c>
      <c r="AA247" s="192"/>
      <c r="AB247" s="192"/>
      <c r="AC247" s="192"/>
      <c r="AD247" s="192"/>
      <c r="AE247" s="181">
        <f t="shared" si="120"/>
        <v>0</v>
      </c>
      <c r="AG247" s="174"/>
      <c r="AH247" s="174"/>
      <c r="AI247" s="174"/>
      <c r="AJ247" s="174"/>
      <c r="AK247" s="163">
        <f t="shared" si="121"/>
        <v>0</v>
      </c>
      <c r="AM247" s="308">
        <v>0</v>
      </c>
      <c r="AN247" s="308">
        <v>0</v>
      </c>
      <c r="AO247" s="18">
        <f t="shared" si="107"/>
        <v>0</v>
      </c>
      <c r="AP247" s="308">
        <v>0</v>
      </c>
      <c r="AQ247" s="308">
        <v>0</v>
      </c>
      <c r="AR247" s="107">
        <f t="shared" si="122"/>
        <v>0</v>
      </c>
      <c r="AT247" s="279"/>
      <c r="AU247" s="279"/>
      <c r="AV247" s="279">
        <f t="shared" si="108"/>
        <v>6000</v>
      </c>
      <c r="AW247" s="279">
        <f t="shared" si="109"/>
        <v>6756.75</v>
      </c>
      <c r="AX247" s="279">
        <f t="shared" si="117"/>
        <v>12756.75</v>
      </c>
    </row>
    <row r="248" spans="1:50" ht="18.75">
      <c r="A248" s="43" t="s">
        <v>290</v>
      </c>
      <c r="B248" s="271"/>
      <c r="C248" s="272"/>
      <c r="D248" s="271">
        <v>5789</v>
      </c>
      <c r="E248" s="271">
        <v>9813.3</v>
      </c>
      <c r="F248" s="247">
        <f t="shared" si="110"/>
        <v>0</v>
      </c>
      <c r="I248" s="244"/>
      <c r="J248" s="244"/>
      <c r="K248" s="244"/>
      <c r="L248" s="244">
        <v>128</v>
      </c>
      <c r="M248" s="233">
        <f t="shared" si="111"/>
        <v>128</v>
      </c>
      <c r="O248" s="227"/>
      <c r="P248" s="227"/>
      <c r="Q248" s="227"/>
      <c r="R248" s="227"/>
      <c r="S248" s="216">
        <f t="shared" si="118"/>
        <v>0</v>
      </c>
      <c r="U248" s="210"/>
      <c r="V248" s="210"/>
      <c r="W248" s="210"/>
      <c r="X248" s="210">
        <v>356</v>
      </c>
      <c r="Y248" s="199">
        <f t="shared" si="119"/>
        <v>356</v>
      </c>
      <c r="AA248" s="192"/>
      <c r="AB248" s="192"/>
      <c r="AC248" s="192"/>
      <c r="AD248" s="192">
        <v>104</v>
      </c>
      <c r="AE248" s="181">
        <f t="shared" si="120"/>
        <v>104</v>
      </c>
      <c r="AG248" s="174"/>
      <c r="AH248" s="174"/>
      <c r="AI248" s="174"/>
      <c r="AJ248" s="174"/>
      <c r="AK248" s="163">
        <f t="shared" si="121"/>
        <v>0</v>
      </c>
      <c r="AM248" s="308">
        <v>0</v>
      </c>
      <c r="AN248" s="308">
        <v>0</v>
      </c>
      <c r="AO248" s="18">
        <f t="shared" si="107"/>
        <v>0</v>
      </c>
      <c r="AP248" s="308">
        <v>0</v>
      </c>
      <c r="AQ248" s="308">
        <v>0</v>
      </c>
      <c r="AR248" s="107">
        <f t="shared" si="122"/>
        <v>0</v>
      </c>
      <c r="AT248" s="279"/>
      <c r="AU248" s="279"/>
      <c r="AV248" s="279">
        <f t="shared" si="108"/>
        <v>0</v>
      </c>
      <c r="AW248" s="279">
        <f t="shared" si="109"/>
        <v>588</v>
      </c>
      <c r="AX248" s="279">
        <f t="shared" si="117"/>
        <v>588</v>
      </c>
    </row>
    <row r="249" spans="1:50" ht="18.75">
      <c r="A249" s="43" t="s">
        <v>141</v>
      </c>
      <c r="B249" s="271"/>
      <c r="C249" s="272"/>
      <c r="D249" s="271">
        <v>0</v>
      </c>
      <c r="E249" s="271">
        <v>0</v>
      </c>
      <c r="F249" s="247">
        <f t="shared" si="110"/>
        <v>0</v>
      </c>
      <c r="I249" s="244"/>
      <c r="J249" s="244"/>
      <c r="K249" s="244"/>
      <c r="L249" s="244"/>
      <c r="M249" s="233">
        <f t="shared" si="111"/>
        <v>0</v>
      </c>
      <c r="O249" s="227"/>
      <c r="P249" s="227"/>
      <c r="Q249" s="227">
        <v>5374.61</v>
      </c>
      <c r="R249" s="227"/>
      <c r="S249" s="216">
        <f t="shared" si="118"/>
        <v>5374.61</v>
      </c>
      <c r="U249" s="210"/>
      <c r="V249" s="210"/>
      <c r="W249" s="210"/>
      <c r="X249" s="210"/>
      <c r="Y249" s="199">
        <f t="shared" si="119"/>
        <v>0</v>
      </c>
      <c r="AA249" s="192"/>
      <c r="AB249" s="192"/>
      <c r="AC249" s="192">
        <v>10671.3</v>
      </c>
      <c r="AD249" s="192"/>
      <c r="AE249" s="181">
        <f t="shared" si="120"/>
        <v>10671.3</v>
      </c>
      <c r="AG249" s="174"/>
      <c r="AH249" s="174"/>
      <c r="AI249" s="174">
        <v>35363.34</v>
      </c>
      <c r="AJ249" s="174">
        <v>67865.82</v>
      </c>
      <c r="AK249" s="163">
        <f t="shared" si="121"/>
        <v>103229.16</v>
      </c>
      <c r="AM249" s="308">
        <v>8844.47</v>
      </c>
      <c r="AN249" s="308">
        <v>0</v>
      </c>
      <c r="AO249" s="18">
        <f t="shared" si="107"/>
        <v>8844.47</v>
      </c>
      <c r="AP249" s="308">
        <v>5875.4</v>
      </c>
      <c r="AQ249" s="308">
        <v>0</v>
      </c>
      <c r="AR249" s="107">
        <f t="shared" si="122"/>
        <v>5875.4</v>
      </c>
      <c r="AT249" s="279"/>
      <c r="AU249" s="279"/>
      <c r="AV249" s="279">
        <f t="shared" si="108"/>
        <v>57284.65</v>
      </c>
      <c r="AW249" s="279">
        <f t="shared" si="109"/>
        <v>67865.82</v>
      </c>
      <c r="AX249" s="279">
        <f t="shared" si="117"/>
        <v>125150.47</v>
      </c>
    </row>
    <row r="250" spans="1:50" ht="18.75">
      <c r="A250" s="43" t="s">
        <v>145</v>
      </c>
      <c r="B250" s="258"/>
      <c r="C250" s="259"/>
      <c r="D250" s="258">
        <v>10154353.95</v>
      </c>
      <c r="E250" s="258">
        <f>4400+974671.71</f>
        <v>979071.71</v>
      </c>
      <c r="F250" s="247">
        <f t="shared" si="110"/>
        <v>0</v>
      </c>
      <c r="I250" s="237"/>
      <c r="J250" s="237"/>
      <c r="K250" s="237"/>
      <c r="L250" s="237">
        <v>143600</v>
      </c>
      <c r="M250" s="233">
        <f t="shared" si="111"/>
        <v>143600</v>
      </c>
      <c r="O250" s="219"/>
      <c r="P250" s="219"/>
      <c r="Q250" s="219">
        <v>86000</v>
      </c>
      <c r="R250" s="219"/>
      <c r="S250" s="216">
        <f t="shared" si="118"/>
        <v>86000</v>
      </c>
      <c r="U250" s="202"/>
      <c r="V250" s="202"/>
      <c r="W250" s="202">
        <v>167400</v>
      </c>
      <c r="X250" s="202">
        <v>39940</v>
      </c>
      <c r="Y250" s="199">
        <f t="shared" si="119"/>
        <v>207340</v>
      </c>
      <c r="AA250" s="184"/>
      <c r="AB250" s="184"/>
      <c r="AC250" s="184">
        <v>2856700</v>
      </c>
      <c r="AD250" s="184">
        <v>60111</v>
      </c>
      <c r="AE250" s="181">
        <f t="shared" si="120"/>
        <v>2916811</v>
      </c>
      <c r="AG250" s="166"/>
      <c r="AH250" s="166"/>
      <c r="AI250" s="166"/>
      <c r="AJ250" s="166"/>
      <c r="AK250" s="163">
        <f t="shared" si="121"/>
        <v>0</v>
      </c>
      <c r="AM250" s="299">
        <v>1396663.93</v>
      </c>
      <c r="AN250" s="299">
        <v>42548</v>
      </c>
      <c r="AO250" s="18">
        <f t="shared" si="107"/>
        <v>1439211.93</v>
      </c>
      <c r="AP250" s="299">
        <v>416614.51</v>
      </c>
      <c r="AQ250" s="299">
        <v>0</v>
      </c>
      <c r="AR250" s="107">
        <f t="shared" si="122"/>
        <v>416614.51</v>
      </c>
      <c r="AT250" s="279"/>
      <c r="AU250" s="279"/>
      <c r="AV250" s="279">
        <f t="shared" si="108"/>
        <v>3526714.51</v>
      </c>
      <c r="AW250" s="279">
        <f t="shared" si="109"/>
        <v>243651</v>
      </c>
      <c r="AX250" s="279">
        <f t="shared" si="117"/>
        <v>3770365.51</v>
      </c>
    </row>
    <row r="251" spans="1:50" ht="18.75">
      <c r="A251" s="43" t="s">
        <v>142</v>
      </c>
      <c r="B251" s="271"/>
      <c r="C251" s="272"/>
      <c r="D251" s="271">
        <f>6255059+10485</f>
        <v>6265544</v>
      </c>
      <c r="E251" s="271">
        <v>4873677</v>
      </c>
      <c r="F251" s="247">
        <f t="shared" si="110"/>
        <v>0</v>
      </c>
      <c r="I251" s="244"/>
      <c r="J251" s="244"/>
      <c r="K251" s="244"/>
      <c r="L251" s="244"/>
      <c r="M251" s="233">
        <f t="shared" si="111"/>
        <v>0</v>
      </c>
      <c r="O251" s="227"/>
      <c r="P251" s="227"/>
      <c r="Q251" s="227"/>
      <c r="R251" s="227"/>
      <c r="S251" s="216">
        <f t="shared" si="118"/>
        <v>0</v>
      </c>
      <c r="U251" s="210"/>
      <c r="V251" s="210"/>
      <c r="W251" s="210"/>
      <c r="X251" s="210"/>
      <c r="Y251" s="199">
        <f t="shared" si="119"/>
        <v>0</v>
      </c>
      <c r="AA251" s="192"/>
      <c r="AB251" s="192"/>
      <c r="AC251" s="192">
        <v>149265</v>
      </c>
      <c r="AD251" s="192">
        <v>27280</v>
      </c>
      <c r="AE251" s="181">
        <f t="shared" si="120"/>
        <v>176545</v>
      </c>
      <c r="AG251" s="174"/>
      <c r="AH251" s="174"/>
      <c r="AI251" s="174"/>
      <c r="AJ251" s="174"/>
      <c r="AK251" s="163">
        <f t="shared" si="121"/>
        <v>0</v>
      </c>
      <c r="AM251" s="308">
        <v>55220</v>
      </c>
      <c r="AN251" s="308">
        <v>93557.25</v>
      </c>
      <c r="AO251" s="18">
        <f t="shared" si="107"/>
        <v>148777.25</v>
      </c>
      <c r="AP251" s="308">
        <v>92330</v>
      </c>
      <c r="AQ251" s="308">
        <v>55690</v>
      </c>
      <c r="AR251" s="107">
        <f t="shared" si="122"/>
        <v>148020</v>
      </c>
      <c r="AT251" s="279"/>
      <c r="AU251" s="279"/>
      <c r="AV251" s="279">
        <f t="shared" si="108"/>
        <v>241595</v>
      </c>
      <c r="AW251" s="279">
        <f t="shared" si="109"/>
        <v>82970</v>
      </c>
      <c r="AX251" s="279">
        <f t="shared" si="117"/>
        <v>324565</v>
      </c>
    </row>
    <row r="252" spans="1:50" ht="18.75">
      <c r="A252" s="43" t="s">
        <v>143</v>
      </c>
      <c r="B252" s="271"/>
      <c r="C252" s="272"/>
      <c r="D252" s="271">
        <v>12528</v>
      </c>
      <c r="E252" s="271">
        <v>5980</v>
      </c>
      <c r="F252" s="247">
        <f t="shared" si="110"/>
        <v>0</v>
      </c>
      <c r="I252" s="244"/>
      <c r="J252" s="244"/>
      <c r="K252" s="244"/>
      <c r="L252" s="244"/>
      <c r="M252" s="233">
        <f t="shared" si="111"/>
        <v>0</v>
      </c>
      <c r="O252" s="227"/>
      <c r="P252" s="227"/>
      <c r="Q252" s="227"/>
      <c r="R252" s="227"/>
      <c r="S252" s="216">
        <f t="shared" si="118"/>
        <v>0</v>
      </c>
      <c r="U252" s="210"/>
      <c r="V252" s="210"/>
      <c r="W252" s="210"/>
      <c r="X252" s="210"/>
      <c r="Y252" s="199">
        <f t="shared" si="119"/>
        <v>0</v>
      </c>
      <c r="AA252" s="192"/>
      <c r="AB252" s="192"/>
      <c r="AC252" s="192"/>
      <c r="AD252" s="192"/>
      <c r="AE252" s="181">
        <f t="shared" si="120"/>
        <v>0</v>
      </c>
      <c r="AG252" s="174"/>
      <c r="AH252" s="174"/>
      <c r="AI252" s="174"/>
      <c r="AJ252" s="174"/>
      <c r="AK252" s="163">
        <f t="shared" si="121"/>
        <v>0</v>
      </c>
      <c r="AM252" s="308">
        <v>0</v>
      </c>
      <c r="AN252" s="308">
        <v>0</v>
      </c>
      <c r="AO252" s="18">
        <f t="shared" si="107"/>
        <v>0</v>
      </c>
      <c r="AP252" s="308">
        <v>0</v>
      </c>
      <c r="AQ252" s="308">
        <v>0</v>
      </c>
      <c r="AR252" s="107">
        <f t="shared" si="122"/>
        <v>0</v>
      </c>
      <c r="AT252" s="279"/>
      <c r="AU252" s="279"/>
      <c r="AV252" s="279">
        <f t="shared" si="108"/>
        <v>0</v>
      </c>
      <c r="AW252" s="279">
        <f t="shared" si="109"/>
        <v>0</v>
      </c>
      <c r="AX252" s="279">
        <f t="shared" si="117"/>
        <v>0</v>
      </c>
    </row>
    <row r="253" spans="1:50" ht="18.75">
      <c r="A253" s="43" t="s">
        <v>223</v>
      </c>
      <c r="B253" s="271"/>
      <c r="C253" s="272"/>
      <c r="D253" s="271"/>
      <c r="E253" s="271">
        <v>328400</v>
      </c>
      <c r="F253" s="247">
        <f t="shared" si="110"/>
        <v>0</v>
      </c>
      <c r="I253" s="244"/>
      <c r="J253" s="244"/>
      <c r="K253" s="244"/>
      <c r="L253" s="244"/>
      <c r="M253" s="233">
        <f t="shared" si="111"/>
        <v>0</v>
      </c>
      <c r="O253" s="227"/>
      <c r="P253" s="227"/>
      <c r="Q253" s="227"/>
      <c r="R253" s="227"/>
      <c r="S253" s="216">
        <f t="shared" si="118"/>
        <v>0</v>
      </c>
      <c r="U253" s="210"/>
      <c r="V253" s="210"/>
      <c r="W253" s="210"/>
      <c r="X253" s="210">
        <v>1488000</v>
      </c>
      <c r="Y253" s="199">
        <f t="shared" si="119"/>
        <v>1488000</v>
      </c>
      <c r="AA253" s="192"/>
      <c r="AB253" s="192"/>
      <c r="AC253" s="192"/>
      <c r="AD253" s="192"/>
      <c r="AE253" s="181">
        <f t="shared" si="120"/>
        <v>0</v>
      </c>
      <c r="AG253" s="174"/>
      <c r="AH253" s="174"/>
      <c r="AI253" s="174"/>
      <c r="AJ253" s="174">
        <v>1093562.95</v>
      </c>
      <c r="AK253" s="163">
        <f t="shared" si="121"/>
        <v>1093562.95</v>
      </c>
      <c r="AL253" s="50" t="s">
        <v>440</v>
      </c>
      <c r="AM253" s="308">
        <v>87750</v>
      </c>
      <c r="AN253" s="308">
        <v>44214</v>
      </c>
      <c r="AO253" s="18">
        <f t="shared" si="107"/>
        <v>131964</v>
      </c>
      <c r="AP253" s="308">
        <v>371015</v>
      </c>
      <c r="AQ253" s="308">
        <v>229320</v>
      </c>
      <c r="AR253" s="107">
        <f t="shared" si="122"/>
        <v>600335</v>
      </c>
      <c r="AT253" s="279"/>
      <c r="AU253" s="279"/>
      <c r="AV253" s="279">
        <f t="shared" si="108"/>
        <v>371015</v>
      </c>
      <c r="AW253" s="279">
        <f t="shared" si="109"/>
        <v>2810882.95</v>
      </c>
      <c r="AX253" s="279">
        <f t="shared" si="117"/>
        <v>3181897.95</v>
      </c>
    </row>
    <row r="254" spans="1:50" ht="18.75">
      <c r="A254" s="43" t="s">
        <v>251</v>
      </c>
      <c r="B254" s="251"/>
      <c r="C254" s="273"/>
      <c r="D254" s="251">
        <f>12471863+137189</f>
        <v>12609052</v>
      </c>
      <c r="E254" s="274">
        <f>10515537.22-137198</f>
        <v>10378339.22</v>
      </c>
      <c r="F254" s="247">
        <f t="shared" si="110"/>
        <v>0</v>
      </c>
      <c r="I254" s="233"/>
      <c r="J254" s="245"/>
      <c r="K254" s="233">
        <v>1683479</v>
      </c>
      <c r="L254" s="245"/>
      <c r="M254" s="233">
        <f t="shared" si="111"/>
        <v>1683479</v>
      </c>
      <c r="O254" s="216"/>
      <c r="P254" s="228"/>
      <c r="Q254" s="216">
        <v>8151869</v>
      </c>
      <c r="R254" s="228">
        <v>50000</v>
      </c>
      <c r="S254" s="216">
        <f t="shared" si="118"/>
        <v>8201869</v>
      </c>
      <c r="U254" s="199"/>
      <c r="V254" s="211"/>
      <c r="W254" s="199">
        <v>3693783</v>
      </c>
      <c r="X254" s="211"/>
      <c r="Y254" s="199">
        <f t="shared" si="119"/>
        <v>3693783</v>
      </c>
      <c r="AA254" s="181"/>
      <c r="AB254" s="193"/>
      <c r="AC254" s="181">
        <v>1822825</v>
      </c>
      <c r="AD254" s="193"/>
      <c r="AE254" s="181">
        <f t="shared" si="120"/>
        <v>1822825</v>
      </c>
      <c r="AG254" s="163"/>
      <c r="AH254" s="175"/>
      <c r="AI254" s="163"/>
      <c r="AJ254" s="175"/>
      <c r="AK254" s="163">
        <f t="shared" si="121"/>
        <v>0</v>
      </c>
      <c r="AM254" s="107">
        <v>292450</v>
      </c>
      <c r="AN254" s="309">
        <v>723600</v>
      </c>
      <c r="AO254" s="18">
        <f t="shared" si="107"/>
        <v>1016050</v>
      </c>
      <c r="AP254" s="107">
        <v>1389493.56</v>
      </c>
      <c r="AQ254" s="309">
        <v>0</v>
      </c>
      <c r="AR254" s="107">
        <f t="shared" si="122"/>
        <v>1389493.56</v>
      </c>
      <c r="AT254" s="279"/>
      <c r="AU254" s="279"/>
      <c r="AV254" s="279">
        <f t="shared" si="108"/>
        <v>16741449.56</v>
      </c>
      <c r="AW254" s="279">
        <f t="shared" si="109"/>
        <v>50000</v>
      </c>
      <c r="AX254" s="279">
        <f t="shared" si="117"/>
        <v>16791449.560000002</v>
      </c>
    </row>
    <row r="255" spans="1:50" ht="18.75">
      <c r="A255" s="43" t="s">
        <v>144</v>
      </c>
      <c r="B255" s="271"/>
      <c r="C255" s="272"/>
      <c r="D255" s="271">
        <v>158014.78</v>
      </c>
      <c r="E255" s="271">
        <v>266332</v>
      </c>
      <c r="F255" s="247">
        <f t="shared" si="110"/>
        <v>0</v>
      </c>
      <c r="I255" s="244"/>
      <c r="J255" s="244"/>
      <c r="K255" s="244"/>
      <c r="L255" s="244"/>
      <c r="M255" s="233">
        <f t="shared" si="111"/>
        <v>0</v>
      </c>
      <c r="O255" s="227"/>
      <c r="P255" s="227"/>
      <c r="Q255" s="227"/>
      <c r="R255" s="227"/>
      <c r="S255" s="216">
        <f t="shared" si="118"/>
        <v>0</v>
      </c>
      <c r="U255" s="210"/>
      <c r="V255" s="210"/>
      <c r="W255" s="210"/>
      <c r="X255" s="210"/>
      <c r="Y255" s="199">
        <f t="shared" si="119"/>
        <v>0</v>
      </c>
      <c r="AA255" s="192"/>
      <c r="AB255" s="192"/>
      <c r="AC255" s="192">
        <v>236762</v>
      </c>
      <c r="AD255" s="192"/>
      <c r="AE255" s="181">
        <f t="shared" si="120"/>
        <v>236762</v>
      </c>
      <c r="AG255" s="174"/>
      <c r="AH255" s="174"/>
      <c r="AI255" s="174"/>
      <c r="AJ255" s="174"/>
      <c r="AK255" s="163">
        <f t="shared" si="121"/>
        <v>0</v>
      </c>
      <c r="AM255" s="308">
        <v>294778</v>
      </c>
      <c r="AN255" s="308">
        <v>144051</v>
      </c>
      <c r="AO255" s="18">
        <f t="shared" si="107"/>
        <v>438829</v>
      </c>
      <c r="AP255" s="308">
        <v>350996.5</v>
      </c>
      <c r="AQ255" s="308">
        <v>117710</v>
      </c>
      <c r="AR255" s="107">
        <f t="shared" si="122"/>
        <v>468706.5</v>
      </c>
      <c r="AT255" s="279"/>
      <c r="AU255" s="279"/>
      <c r="AV255" s="279">
        <f t="shared" si="108"/>
        <v>587758.5</v>
      </c>
      <c r="AW255" s="279">
        <f t="shared" si="109"/>
        <v>117710</v>
      </c>
      <c r="AX255" s="279">
        <f t="shared" si="117"/>
        <v>705468.5</v>
      </c>
    </row>
    <row r="256" spans="1:50" ht="18.75">
      <c r="A256" s="43" t="s">
        <v>224</v>
      </c>
      <c r="B256" s="271"/>
      <c r="C256" s="272"/>
      <c r="D256" s="271">
        <f>275998.86+485000</f>
        <v>760998.86</v>
      </c>
      <c r="E256" s="271">
        <v>45807638.05</v>
      </c>
      <c r="F256" s="247">
        <f t="shared" si="110"/>
        <v>0</v>
      </c>
      <c r="I256" s="244"/>
      <c r="J256" s="244"/>
      <c r="K256" s="244">
        <v>180315.3</v>
      </c>
      <c r="L256" s="244">
        <v>205540</v>
      </c>
      <c r="M256" s="233">
        <f t="shared" si="111"/>
        <v>385855.3</v>
      </c>
      <c r="O256" s="227"/>
      <c r="P256" s="227"/>
      <c r="Q256" s="227">
        <v>28080</v>
      </c>
      <c r="R256" s="227"/>
      <c r="S256" s="216">
        <f t="shared" si="118"/>
        <v>28080</v>
      </c>
      <c r="U256" s="210"/>
      <c r="V256" s="210"/>
      <c r="W256" s="210">
        <v>151123.8</v>
      </c>
      <c r="X256" s="210">
        <v>1583532.12</v>
      </c>
      <c r="Y256" s="199">
        <f t="shared" si="119"/>
        <v>1734655.9200000002</v>
      </c>
      <c r="AA256" s="192"/>
      <c r="AB256" s="192"/>
      <c r="AC256" s="192">
        <v>35033.51</v>
      </c>
      <c r="AD256" s="192">
        <v>45530</v>
      </c>
      <c r="AE256" s="181">
        <f t="shared" si="120"/>
        <v>80563.51000000001</v>
      </c>
      <c r="AG256" s="174"/>
      <c r="AH256" s="174"/>
      <c r="AI256" s="174">
        <v>150570</v>
      </c>
      <c r="AJ256" s="174">
        <v>952247</v>
      </c>
      <c r="AK256" s="163">
        <f t="shared" si="121"/>
        <v>1102817</v>
      </c>
      <c r="AM256" s="308">
        <v>16800</v>
      </c>
      <c r="AN256" s="308">
        <v>18650</v>
      </c>
      <c r="AO256" s="18">
        <f t="shared" si="107"/>
        <v>35450</v>
      </c>
      <c r="AP256" s="308">
        <v>3200</v>
      </c>
      <c r="AQ256" s="308">
        <v>11500</v>
      </c>
      <c r="AR256" s="107">
        <f t="shared" si="122"/>
        <v>14700</v>
      </c>
      <c r="AT256" s="279"/>
      <c r="AU256" s="279"/>
      <c r="AV256" s="279">
        <f t="shared" si="108"/>
        <v>548322.61</v>
      </c>
      <c r="AW256" s="279">
        <f t="shared" si="109"/>
        <v>2798349.12</v>
      </c>
      <c r="AX256" s="279">
        <f t="shared" si="117"/>
        <v>3346671.73</v>
      </c>
    </row>
    <row r="257" spans="1:60" s="17" customFormat="1" ht="19.5" thickBot="1">
      <c r="A257" s="17" t="s">
        <v>245</v>
      </c>
      <c r="B257" s="255">
        <f>SUM(B238:B256)</f>
        <v>0</v>
      </c>
      <c r="C257" s="256">
        <f>SUM(C238:C256)</f>
        <v>0</v>
      </c>
      <c r="D257" s="255">
        <f>SUM(D238:D256)</f>
        <v>111633965.66</v>
      </c>
      <c r="E257" s="255">
        <f>SUM(E238:E256)</f>
        <v>155731747.21999997</v>
      </c>
      <c r="F257" s="257">
        <f>SUM(F238:F256)</f>
        <v>0</v>
      </c>
      <c r="G257" s="106"/>
      <c r="H257" s="144"/>
      <c r="I257" s="236">
        <f>SUM(I238:I256)</f>
        <v>0</v>
      </c>
      <c r="J257" s="236">
        <f>SUM(J238:J256)</f>
        <v>0</v>
      </c>
      <c r="K257" s="236">
        <f>SUM(K238:K256)</f>
        <v>18884718.25</v>
      </c>
      <c r="L257" s="236">
        <f>SUM(L238:L256)</f>
        <v>5865471.21</v>
      </c>
      <c r="M257" s="236">
        <f>SUM(M238:M256)</f>
        <v>24750189.46</v>
      </c>
      <c r="N257" s="91"/>
      <c r="O257" s="218">
        <f>SUM(O238:O256)</f>
        <v>0</v>
      </c>
      <c r="P257" s="218">
        <f>SUM(P238:P256)</f>
        <v>0</v>
      </c>
      <c r="Q257" s="218">
        <f>SUM(Q238:Q256)</f>
        <v>10410043.55</v>
      </c>
      <c r="R257" s="218">
        <f>SUM(R238:R256)</f>
        <v>247264.9</v>
      </c>
      <c r="S257" s="218">
        <f>SUM(S238:S256)</f>
        <v>10657308.45</v>
      </c>
      <c r="T257" s="91"/>
      <c r="U257" s="201">
        <f>SUM(U238:U256)</f>
        <v>0</v>
      </c>
      <c r="V257" s="201">
        <f>SUM(V238:V256)</f>
        <v>0</v>
      </c>
      <c r="W257" s="201">
        <f>SUM(W238:W256)</f>
        <v>15437390.46</v>
      </c>
      <c r="X257" s="201">
        <f>SUM(X238:X256)</f>
        <v>8377154.99</v>
      </c>
      <c r="Y257" s="201">
        <f>SUM(Y238:Y256)</f>
        <v>23814545.450000003</v>
      </c>
      <c r="Z257" s="91"/>
      <c r="AA257" s="183">
        <f>SUM(AA238:AA256)</f>
        <v>0</v>
      </c>
      <c r="AB257" s="183">
        <f>SUM(AB238:AB256)</f>
        <v>0</v>
      </c>
      <c r="AC257" s="183">
        <f>SUM(AC238:AC256)</f>
        <v>19468238.67</v>
      </c>
      <c r="AD257" s="183">
        <f>SUM(AD238:AD256)</f>
        <v>5895156.04</v>
      </c>
      <c r="AE257" s="183">
        <f>SUM(AE238:AE256)</f>
        <v>25363394.71</v>
      </c>
      <c r="AF257" s="106"/>
      <c r="AG257" s="165">
        <f>SUM(AG238:AG256)</f>
        <v>0</v>
      </c>
      <c r="AH257" s="165">
        <f>SUM(AH238:AH256)</f>
        <v>0</v>
      </c>
      <c r="AI257" s="165">
        <f>SUM(AI238:AI256)</f>
        <v>18302797.95</v>
      </c>
      <c r="AJ257" s="165">
        <f>SUM(AJ238:AJ256)</f>
        <v>18580765.23</v>
      </c>
      <c r="AK257" s="165">
        <f>SUM(AK238:AK256)</f>
        <v>36883563.18000001</v>
      </c>
      <c r="AL257" s="91"/>
      <c r="AM257" s="300">
        <f aca="true" t="shared" si="123" ref="AM257:AR257">SUM(AM238:AM256)</f>
        <v>15436053.819999998</v>
      </c>
      <c r="AN257" s="300">
        <f t="shared" si="123"/>
        <v>12001323.85</v>
      </c>
      <c r="AO257" s="300">
        <f t="shared" si="123"/>
        <v>27437377.669999998</v>
      </c>
      <c r="AP257" s="300">
        <f t="shared" si="123"/>
        <v>13586033.38</v>
      </c>
      <c r="AQ257" s="300">
        <f t="shared" si="123"/>
        <v>6312388.76</v>
      </c>
      <c r="AR257" s="300">
        <f t="shared" si="123"/>
        <v>19898422.14</v>
      </c>
      <c r="AS257" s="91"/>
      <c r="AT257" s="281">
        <f>SUM(AT238:AT256)</f>
        <v>0</v>
      </c>
      <c r="AU257" s="281">
        <f>SUM(AU238:AU256)</f>
        <v>0</v>
      </c>
      <c r="AV257" s="281">
        <f>SUM(AV238:AV256)</f>
        <v>96089222.26</v>
      </c>
      <c r="AW257" s="281">
        <f>SUM(AW238:AW256)</f>
        <v>45278201.129999995</v>
      </c>
      <c r="AX257" s="281">
        <f>SUM(AX238:AX256)</f>
        <v>141367423.39</v>
      </c>
      <c r="AY257" s="91"/>
      <c r="AZ257" s="144"/>
      <c r="BA257" s="91"/>
      <c r="BB257" s="91"/>
      <c r="BC257" s="91"/>
      <c r="BD257" s="91"/>
      <c r="BE257" s="91"/>
      <c r="BF257" s="91"/>
      <c r="BG257" s="91"/>
      <c r="BH257" s="91"/>
    </row>
    <row r="258" spans="2:60" s="17" customFormat="1" ht="19.5" thickTop="1">
      <c r="B258" s="247"/>
      <c r="C258" s="247"/>
      <c r="D258" s="247"/>
      <c r="E258" s="247"/>
      <c r="F258" s="247"/>
      <c r="G258" s="106"/>
      <c r="H258" s="144"/>
      <c r="I258" s="231"/>
      <c r="J258" s="231"/>
      <c r="K258" s="231"/>
      <c r="L258" s="231"/>
      <c r="M258" s="231"/>
      <c r="N258" s="91"/>
      <c r="O258" s="214"/>
      <c r="P258" s="214"/>
      <c r="Q258" s="214"/>
      <c r="R258" s="214"/>
      <c r="S258" s="214"/>
      <c r="T258" s="91"/>
      <c r="U258" s="197"/>
      <c r="V258" s="197"/>
      <c r="W258" s="197"/>
      <c r="X258" s="197"/>
      <c r="Y258" s="197"/>
      <c r="Z258" s="91"/>
      <c r="AA258" s="179"/>
      <c r="AB258" s="179"/>
      <c r="AC258" s="179"/>
      <c r="AD258" s="179"/>
      <c r="AE258" s="179"/>
      <c r="AF258" s="106"/>
      <c r="AG258" s="161"/>
      <c r="AH258" s="161"/>
      <c r="AI258" s="161"/>
      <c r="AJ258" s="161"/>
      <c r="AK258" s="161"/>
      <c r="AL258" s="91"/>
      <c r="AM258" s="106"/>
      <c r="AN258" s="106"/>
      <c r="AO258" s="106"/>
      <c r="AP258" s="106"/>
      <c r="AQ258" s="106"/>
      <c r="AR258" s="106"/>
      <c r="AS258" s="91"/>
      <c r="AT258" s="277"/>
      <c r="AU258" s="277"/>
      <c r="AV258" s="277"/>
      <c r="AW258" s="277"/>
      <c r="AX258" s="277"/>
      <c r="AY258" s="91"/>
      <c r="AZ258" s="144"/>
      <c r="BA258" s="91"/>
      <c r="BB258" s="91"/>
      <c r="BC258" s="91"/>
      <c r="BD258" s="91"/>
      <c r="BE258" s="91"/>
      <c r="BF258" s="91"/>
      <c r="BG258" s="91"/>
      <c r="BH258" s="91"/>
    </row>
    <row r="259" spans="1:50" ht="18.75">
      <c r="A259" s="51" t="s">
        <v>479</v>
      </c>
      <c r="B259" s="248" t="s">
        <v>56</v>
      </c>
      <c r="C259" s="249" t="s">
        <v>57</v>
      </c>
      <c r="D259" s="248" t="s">
        <v>56</v>
      </c>
      <c r="E259" s="248" t="s">
        <v>57</v>
      </c>
      <c r="F259" s="250"/>
      <c r="G259" s="97"/>
      <c r="I259" s="232" t="s">
        <v>56</v>
      </c>
      <c r="J259" s="232" t="s">
        <v>57</v>
      </c>
      <c r="K259" s="232" t="s">
        <v>56</v>
      </c>
      <c r="L259" s="232" t="s">
        <v>57</v>
      </c>
      <c r="M259" s="232" t="s">
        <v>101</v>
      </c>
      <c r="O259" s="215" t="s">
        <v>56</v>
      </c>
      <c r="P259" s="215" t="s">
        <v>57</v>
      </c>
      <c r="Q259" s="215" t="s">
        <v>56</v>
      </c>
      <c r="R259" s="215" t="s">
        <v>57</v>
      </c>
      <c r="S259" s="215" t="s">
        <v>101</v>
      </c>
      <c r="U259" s="198" t="s">
        <v>56</v>
      </c>
      <c r="V259" s="198" t="s">
        <v>57</v>
      </c>
      <c r="W259" s="198" t="s">
        <v>56</v>
      </c>
      <c r="X259" s="198" t="s">
        <v>57</v>
      </c>
      <c r="Y259" s="198" t="s">
        <v>101</v>
      </c>
      <c r="AA259" s="180" t="s">
        <v>56</v>
      </c>
      <c r="AB259" s="180" t="s">
        <v>57</v>
      </c>
      <c r="AC259" s="180" t="s">
        <v>56</v>
      </c>
      <c r="AD259" s="180" t="s">
        <v>57</v>
      </c>
      <c r="AE259" s="180" t="s">
        <v>101</v>
      </c>
      <c r="AF259" s="97"/>
      <c r="AG259" s="162" t="s">
        <v>56</v>
      </c>
      <c r="AH259" s="162" t="s">
        <v>57</v>
      </c>
      <c r="AI259" s="162" t="s">
        <v>56</v>
      </c>
      <c r="AJ259" s="162" t="s">
        <v>57</v>
      </c>
      <c r="AK259" s="162" t="s">
        <v>101</v>
      </c>
      <c r="AM259" s="18" t="s">
        <v>56</v>
      </c>
      <c r="AN259" s="18" t="s">
        <v>57</v>
      </c>
      <c r="AO259" s="18" t="s">
        <v>101</v>
      </c>
      <c r="AP259" s="18" t="s">
        <v>56</v>
      </c>
      <c r="AQ259" s="18" t="s">
        <v>57</v>
      </c>
      <c r="AR259" s="18" t="s">
        <v>101</v>
      </c>
      <c r="AT259" s="278" t="s">
        <v>56</v>
      </c>
      <c r="AU259" s="278" t="s">
        <v>57</v>
      </c>
      <c r="AV259" s="278" t="s">
        <v>56</v>
      </c>
      <c r="AW259" s="278" t="s">
        <v>57</v>
      </c>
      <c r="AX259" s="278" t="s">
        <v>101</v>
      </c>
    </row>
    <row r="260" spans="1:54" ht="19.5" thickBot="1">
      <c r="A260" s="43" t="s">
        <v>146</v>
      </c>
      <c r="B260" s="271"/>
      <c r="C260" s="272"/>
      <c r="D260" s="271">
        <v>22802338.27</v>
      </c>
      <c r="E260" s="271">
        <v>0</v>
      </c>
      <c r="F260" s="247">
        <f>SUM(B260:C260)</f>
        <v>0</v>
      </c>
      <c r="I260" s="244"/>
      <c r="J260" s="244"/>
      <c r="K260" s="244">
        <v>4107538.58</v>
      </c>
      <c r="L260" s="244">
        <v>6195.76</v>
      </c>
      <c r="M260" s="233">
        <f>SUM(K260:L260)</f>
        <v>4113734.34</v>
      </c>
      <c r="O260" s="227"/>
      <c r="P260" s="227"/>
      <c r="Q260" s="227">
        <v>1564632.45</v>
      </c>
      <c r="R260" s="227"/>
      <c r="S260" s="216">
        <f>SUM(Q260:R260)</f>
        <v>1564632.45</v>
      </c>
      <c r="U260" s="210"/>
      <c r="V260" s="210"/>
      <c r="W260" s="210">
        <v>3421135.36</v>
      </c>
      <c r="X260" s="210">
        <v>273205.3</v>
      </c>
      <c r="Y260" s="199">
        <f>SUM(W260:X260)</f>
        <v>3694340.6599999997</v>
      </c>
      <c r="AA260" s="192"/>
      <c r="AB260" s="192"/>
      <c r="AC260" s="192">
        <v>3514805.98</v>
      </c>
      <c r="AD260" s="192">
        <v>849635.4</v>
      </c>
      <c r="AE260" s="181">
        <f>SUM(AC260:AD260)</f>
        <v>4364441.38</v>
      </c>
      <c r="AG260" s="174"/>
      <c r="AH260" s="174"/>
      <c r="AI260" s="174">
        <v>5101770.14</v>
      </c>
      <c r="AJ260" s="174">
        <v>4768657.26</v>
      </c>
      <c r="AK260" s="163">
        <f>SUM(AI260:AJ260)</f>
        <v>9870427.399999999</v>
      </c>
      <c r="AM260" s="308">
        <v>3535146.65</v>
      </c>
      <c r="AN260" s="308">
        <v>380770</v>
      </c>
      <c r="AO260" s="18">
        <f>SUM(AM260:AN260)</f>
        <v>3915916.65</v>
      </c>
      <c r="AP260" s="308">
        <v>2503316.21</v>
      </c>
      <c r="AQ260" s="308">
        <v>1797275.36</v>
      </c>
      <c r="AR260" s="107">
        <f>SUM(AP260:AQ260)</f>
        <v>4300591.57</v>
      </c>
      <c r="AT260" s="279"/>
      <c r="AU260" s="279"/>
      <c r="AV260" s="279">
        <f aca="true" t="shared" si="124" ref="AV260:AW264">+B260+K260+Q260+W260+AC260+AI260+AP260</f>
        <v>20213198.720000003</v>
      </c>
      <c r="AW260" s="279">
        <f t="shared" si="124"/>
        <v>7694969.08</v>
      </c>
      <c r="AX260" s="279">
        <f>SUM(AV260:AW260)</f>
        <v>27908167.800000004</v>
      </c>
      <c r="BB260" s="148"/>
    </row>
    <row r="261" spans="1:50" ht="19.5" thickTop="1">
      <c r="A261" s="43" t="s">
        <v>147</v>
      </c>
      <c r="B261" s="271"/>
      <c r="C261" s="272"/>
      <c r="D261" s="271">
        <v>485134.81</v>
      </c>
      <c r="E261" s="271">
        <v>426854.45</v>
      </c>
      <c r="F261" s="247">
        <f>SUM(B261:C261)</f>
        <v>0</v>
      </c>
      <c r="I261" s="244"/>
      <c r="J261" s="244"/>
      <c r="K261" s="244">
        <v>1032</v>
      </c>
      <c r="L261" s="244"/>
      <c r="M261" s="233">
        <f>SUM(K261:L261)</f>
        <v>1032</v>
      </c>
      <c r="O261" s="227"/>
      <c r="P261" s="227"/>
      <c r="Q261" s="227"/>
      <c r="R261" s="227"/>
      <c r="S261" s="216">
        <f>SUM(Q261:R261)</f>
        <v>0</v>
      </c>
      <c r="U261" s="210"/>
      <c r="V261" s="210"/>
      <c r="W261" s="210">
        <v>398734</v>
      </c>
      <c r="X261" s="210"/>
      <c r="Y261" s="199">
        <f>SUM(W261:X261)</f>
        <v>398734</v>
      </c>
      <c r="AA261" s="192"/>
      <c r="AB261" s="192"/>
      <c r="AC261" s="192"/>
      <c r="AD261" s="192"/>
      <c r="AE261" s="181">
        <f>SUM(AC261:AD261)</f>
        <v>0</v>
      </c>
      <c r="AG261" s="174"/>
      <c r="AH261" s="174"/>
      <c r="AI261" s="174">
        <v>199684.47</v>
      </c>
      <c r="AJ261" s="174">
        <v>1554948.1</v>
      </c>
      <c r="AK261" s="163">
        <f>SUM(AI261:AJ261)</f>
        <v>1754632.57</v>
      </c>
      <c r="AM261" s="308">
        <v>156200</v>
      </c>
      <c r="AN261" s="308">
        <v>193884.74</v>
      </c>
      <c r="AO261" s="18">
        <f>SUM(AM261:AN261)</f>
        <v>350084.74</v>
      </c>
      <c r="AP261" s="308">
        <v>156200</v>
      </c>
      <c r="AQ261" s="308">
        <v>250561.15</v>
      </c>
      <c r="AR261" s="107">
        <f>SUM(AP261:AQ261)</f>
        <v>406761.15</v>
      </c>
      <c r="AT261" s="279"/>
      <c r="AU261" s="279"/>
      <c r="AV261" s="279">
        <f t="shared" si="124"/>
        <v>755650.47</v>
      </c>
      <c r="AW261" s="279">
        <f t="shared" si="124"/>
        <v>1805509.25</v>
      </c>
      <c r="AX261" s="279">
        <f>SUM(AV261:AW261)</f>
        <v>2561159.7199999997</v>
      </c>
    </row>
    <row r="262" spans="1:52" ht="18.75">
      <c r="A262" s="43" t="s">
        <v>148</v>
      </c>
      <c r="B262" s="271"/>
      <c r="C262" s="272"/>
      <c r="D262" s="271">
        <f>1024392.7+46075.97</f>
        <v>1070468.67</v>
      </c>
      <c r="E262" s="271">
        <v>533905.39</v>
      </c>
      <c r="F262" s="247">
        <f>SUM(B262:C262)</f>
        <v>0</v>
      </c>
      <c r="I262" s="244"/>
      <c r="J262" s="244"/>
      <c r="K262" s="244"/>
      <c r="L262" s="244">
        <v>83244.19</v>
      </c>
      <c r="M262" s="233">
        <f>SUM(K262:L262)</f>
        <v>83244.19</v>
      </c>
      <c r="O262" s="227"/>
      <c r="P262" s="227"/>
      <c r="Q262" s="227">
        <v>12923.39</v>
      </c>
      <c r="R262" s="227"/>
      <c r="S262" s="216">
        <f>SUM(Q262:R262)</f>
        <v>12923.39</v>
      </c>
      <c r="U262" s="210"/>
      <c r="V262" s="210"/>
      <c r="W262" s="210">
        <v>20266.01</v>
      </c>
      <c r="X262" s="210">
        <v>33990.58</v>
      </c>
      <c r="Y262" s="199">
        <f>SUM(W262:X262)</f>
        <v>54256.59</v>
      </c>
      <c r="AA262" s="192"/>
      <c r="AB262" s="192"/>
      <c r="AC262" s="192">
        <v>82366.88</v>
      </c>
      <c r="AD262" s="192">
        <v>44685.62</v>
      </c>
      <c r="AE262" s="181">
        <f>SUM(AC262:AD262)</f>
        <v>127052.5</v>
      </c>
      <c r="AG262" s="174"/>
      <c r="AH262" s="174"/>
      <c r="AI262" s="174">
        <v>61011.74</v>
      </c>
      <c r="AJ262" s="174">
        <v>161672.19</v>
      </c>
      <c r="AK262" s="163">
        <f>SUM(AI262:AJ262)</f>
        <v>222683.93</v>
      </c>
      <c r="AM262" s="308">
        <v>43705.65</v>
      </c>
      <c r="AN262" s="308">
        <v>4421.86</v>
      </c>
      <c r="AO262" s="18">
        <f>SUM(AM262:AN262)</f>
        <v>48127.51</v>
      </c>
      <c r="AP262" s="308">
        <v>43774.04</v>
      </c>
      <c r="AQ262" s="308">
        <v>0</v>
      </c>
      <c r="AR262" s="107">
        <f>SUM(AP262:AQ262)</f>
        <v>43774.04</v>
      </c>
      <c r="AT262" s="279"/>
      <c r="AU262" s="279"/>
      <c r="AV262" s="279">
        <f t="shared" si="124"/>
        <v>220342.06</v>
      </c>
      <c r="AW262" s="279">
        <f t="shared" si="124"/>
        <v>323592.58</v>
      </c>
      <c r="AX262" s="279">
        <f>SUM(AV262:AW262)</f>
        <v>543934.64</v>
      </c>
      <c r="AY262" s="50">
        <v>2040350.73</v>
      </c>
      <c r="AZ262" s="137">
        <f>+AX262-AY262</f>
        <v>-1496416.0899999999</v>
      </c>
    </row>
    <row r="263" spans="1:50" ht="18.75">
      <c r="A263" s="43" t="s">
        <v>149</v>
      </c>
      <c r="B263" s="271"/>
      <c r="C263" s="272"/>
      <c r="D263" s="271">
        <v>6200000</v>
      </c>
      <c r="E263" s="271">
        <v>3721000</v>
      </c>
      <c r="F263" s="247">
        <f>SUM(B263:C263)</f>
        <v>0</v>
      </c>
      <c r="I263" s="244"/>
      <c r="J263" s="244"/>
      <c r="K263" s="244"/>
      <c r="L263" s="244"/>
      <c r="M263" s="233">
        <f>SUM(K263:L263)</f>
        <v>0</v>
      </c>
      <c r="O263" s="227"/>
      <c r="P263" s="227"/>
      <c r="Q263" s="227"/>
      <c r="R263" s="227"/>
      <c r="S263" s="216">
        <f>SUM(Q263:R263)</f>
        <v>0</v>
      </c>
      <c r="U263" s="210"/>
      <c r="V263" s="210"/>
      <c r="W263" s="210"/>
      <c r="X263" s="210"/>
      <c r="Y263" s="199">
        <f>SUM(W263:X263)</f>
        <v>0</v>
      </c>
      <c r="AA263" s="192"/>
      <c r="AB263" s="192"/>
      <c r="AC263" s="192"/>
      <c r="AD263" s="192"/>
      <c r="AE263" s="181">
        <f>SUM(AC263:AD263)</f>
        <v>0</v>
      </c>
      <c r="AG263" s="174"/>
      <c r="AH263" s="174"/>
      <c r="AI263" s="174"/>
      <c r="AJ263" s="174"/>
      <c r="AK263" s="163">
        <f>SUM(AI263:AJ263)</f>
        <v>0</v>
      </c>
      <c r="AM263" s="308">
        <v>7575.6</v>
      </c>
      <c r="AN263" s="308">
        <v>0</v>
      </c>
      <c r="AO263" s="18">
        <f>SUM(AM263:AN263)</f>
        <v>7575.6</v>
      </c>
      <c r="AP263" s="308">
        <v>7575.6</v>
      </c>
      <c r="AQ263" s="308">
        <v>0</v>
      </c>
      <c r="AR263" s="107">
        <f>SUM(AP263:AQ263)</f>
        <v>7575.6</v>
      </c>
      <c r="AT263" s="279"/>
      <c r="AU263" s="279"/>
      <c r="AV263" s="279">
        <f t="shared" si="124"/>
        <v>7575.6</v>
      </c>
      <c r="AW263" s="279">
        <f t="shared" si="124"/>
        <v>0</v>
      </c>
      <c r="AX263" s="279">
        <f>SUM(AV263:AW263)</f>
        <v>7575.6</v>
      </c>
    </row>
    <row r="264" spans="1:52" ht="18.75">
      <c r="A264" s="43" t="s">
        <v>222</v>
      </c>
      <c r="B264" s="274"/>
      <c r="C264" s="259"/>
      <c r="D264" s="274">
        <v>51524</v>
      </c>
      <c r="E264" s="258">
        <v>315454</v>
      </c>
      <c r="F264" s="247">
        <f>SUM(B264:C264)</f>
        <v>0</v>
      </c>
      <c r="I264" s="245"/>
      <c r="J264" s="237"/>
      <c r="K264" s="245"/>
      <c r="L264" s="237">
        <v>48248</v>
      </c>
      <c r="M264" s="233">
        <f>SUM(K264:L264)</f>
        <v>48248</v>
      </c>
      <c r="O264" s="228"/>
      <c r="P264" s="219"/>
      <c r="Q264" s="228">
        <v>10742</v>
      </c>
      <c r="R264" s="219"/>
      <c r="S264" s="216">
        <f>SUM(Q264:R264)</f>
        <v>10742</v>
      </c>
      <c r="U264" s="211"/>
      <c r="V264" s="202"/>
      <c r="W264" s="211">
        <v>39793</v>
      </c>
      <c r="X264" s="202"/>
      <c r="Y264" s="199">
        <f>SUM(W264:X264)</f>
        <v>39793</v>
      </c>
      <c r="AA264" s="193"/>
      <c r="AB264" s="184"/>
      <c r="AC264" s="193">
        <v>7597</v>
      </c>
      <c r="AD264" s="184">
        <v>36433</v>
      </c>
      <c r="AE264" s="181">
        <f>SUM(AC264:AD264)</f>
        <v>44030</v>
      </c>
      <c r="AG264" s="175"/>
      <c r="AH264" s="166"/>
      <c r="AI264" s="175"/>
      <c r="AJ264" s="166"/>
      <c r="AK264" s="163">
        <f>SUM(AI264:AJ264)</f>
        <v>0</v>
      </c>
      <c r="AM264" s="309">
        <v>0</v>
      </c>
      <c r="AN264" s="299">
        <v>41760</v>
      </c>
      <c r="AO264" s="18">
        <f>SUM(AM264:AN264)</f>
        <v>41760</v>
      </c>
      <c r="AP264" s="309">
        <v>68628</v>
      </c>
      <c r="AQ264" s="299">
        <v>0</v>
      </c>
      <c r="AR264" s="107">
        <f>SUM(AP264:AQ264)</f>
        <v>68628</v>
      </c>
      <c r="AT264" s="279"/>
      <c r="AU264" s="279"/>
      <c r="AV264" s="279">
        <f t="shared" si="124"/>
        <v>126760</v>
      </c>
      <c r="AW264" s="279">
        <f t="shared" si="124"/>
        <v>84681</v>
      </c>
      <c r="AX264" s="279">
        <f>SUM(AV264:AW264)</f>
        <v>211441</v>
      </c>
      <c r="AY264" s="50">
        <v>341853</v>
      </c>
      <c r="AZ264" s="137">
        <f>+AX264-AY264</f>
        <v>-130412</v>
      </c>
    </row>
    <row r="265" spans="1:60" s="17" customFormat="1" ht="19.5" thickBot="1">
      <c r="A265" s="17" t="s">
        <v>150</v>
      </c>
      <c r="B265" s="255">
        <f>SUM(B260:B264)</f>
        <v>0</v>
      </c>
      <c r="C265" s="256">
        <f>SUM(C260:C264)</f>
        <v>0</v>
      </c>
      <c r="D265" s="255">
        <f>SUM(D260:D264)</f>
        <v>30609465.75</v>
      </c>
      <c r="E265" s="255">
        <f>SUM(E260:E264)</f>
        <v>4997213.84</v>
      </c>
      <c r="F265" s="257">
        <f>SUM(F260:F264)</f>
        <v>0</v>
      </c>
      <c r="G265" s="106"/>
      <c r="H265" s="144"/>
      <c r="I265" s="236">
        <f>SUM(I260:I264)</f>
        <v>0</v>
      </c>
      <c r="J265" s="236">
        <f>SUM(J260:J264)</f>
        <v>0</v>
      </c>
      <c r="K265" s="236">
        <f>SUM(K260:K264)</f>
        <v>4108570.58</v>
      </c>
      <c r="L265" s="236">
        <f>SUM(L260:L264)</f>
        <v>137687.95</v>
      </c>
      <c r="M265" s="236">
        <f>SUM(M260:M264)</f>
        <v>4246258.53</v>
      </c>
      <c r="N265" s="91"/>
      <c r="O265" s="218">
        <f>SUM(O260:O264)</f>
        <v>0</v>
      </c>
      <c r="P265" s="218">
        <f>SUM(P260:P264)</f>
        <v>0</v>
      </c>
      <c r="Q265" s="218">
        <f>SUM(Q260:Q264)</f>
        <v>1588297.8399999999</v>
      </c>
      <c r="R265" s="218">
        <f>SUM(R260:R264)</f>
        <v>0</v>
      </c>
      <c r="S265" s="218">
        <f>SUM(S260:S264)</f>
        <v>1588297.8399999999</v>
      </c>
      <c r="T265" s="91"/>
      <c r="U265" s="201">
        <f>SUM(U260:U264)</f>
        <v>0</v>
      </c>
      <c r="V265" s="201">
        <f>SUM(V260:V264)</f>
        <v>0</v>
      </c>
      <c r="W265" s="201">
        <f>SUM(W260:W264)</f>
        <v>3879928.3699999996</v>
      </c>
      <c r="X265" s="201">
        <f>SUM(X260:X264)</f>
        <v>307195.88</v>
      </c>
      <c r="Y265" s="201">
        <f>SUM(Y260:Y264)</f>
        <v>4187124.2499999995</v>
      </c>
      <c r="Z265" s="91"/>
      <c r="AA265" s="183">
        <f>SUM(AA260:AA264)</f>
        <v>0</v>
      </c>
      <c r="AB265" s="183">
        <f>SUM(AB260:AB264)</f>
        <v>0</v>
      </c>
      <c r="AC265" s="183">
        <f>SUM(AC260:AC264)</f>
        <v>3604769.86</v>
      </c>
      <c r="AD265" s="183">
        <f>SUM(AD260:AD264)</f>
        <v>930754.02</v>
      </c>
      <c r="AE265" s="183">
        <f>SUM(AE260:AE264)</f>
        <v>4535523.88</v>
      </c>
      <c r="AF265" s="106"/>
      <c r="AG265" s="165">
        <f>SUM(AG260:AG264)</f>
        <v>0</v>
      </c>
      <c r="AH265" s="165">
        <f>SUM(AH260:AH264)</f>
        <v>0</v>
      </c>
      <c r="AI265" s="165">
        <f>SUM(AI260:AI264)</f>
        <v>5362466.35</v>
      </c>
      <c r="AJ265" s="165">
        <f>SUM(AJ260:AJ264)</f>
        <v>6485277.55</v>
      </c>
      <c r="AK265" s="165">
        <f>SUM(AK260:AK264)</f>
        <v>11847743.899999999</v>
      </c>
      <c r="AL265" s="91"/>
      <c r="AM265" s="300">
        <f aca="true" t="shared" si="125" ref="AM265:AR265">SUM(AM260:AM264)</f>
        <v>3742627.9</v>
      </c>
      <c r="AN265" s="300">
        <f t="shared" si="125"/>
        <v>620836.6</v>
      </c>
      <c r="AO265" s="300">
        <f t="shared" si="125"/>
        <v>4363464.499999999</v>
      </c>
      <c r="AP265" s="300">
        <f t="shared" si="125"/>
        <v>2779493.85</v>
      </c>
      <c r="AQ265" s="300">
        <f t="shared" si="125"/>
        <v>2047836.51</v>
      </c>
      <c r="AR265" s="300">
        <f t="shared" si="125"/>
        <v>4827330.36</v>
      </c>
      <c r="AS265" s="91"/>
      <c r="AT265" s="281">
        <f>SUM(AT260:AT264)</f>
        <v>0</v>
      </c>
      <c r="AU265" s="281">
        <f>SUM(AU260:AU264)</f>
        <v>0</v>
      </c>
      <c r="AV265" s="281">
        <f>SUM(AV260:AV264)</f>
        <v>21323526.85</v>
      </c>
      <c r="AW265" s="281">
        <f>SUM(AW260:AW264)</f>
        <v>9908751.91</v>
      </c>
      <c r="AX265" s="281">
        <f>SUM(AX260:AX264)</f>
        <v>31232278.760000005</v>
      </c>
      <c r="AY265" s="91"/>
      <c r="AZ265" s="144"/>
      <c r="BA265" s="91"/>
      <c r="BB265" s="91"/>
      <c r="BC265" s="91"/>
      <c r="BD265" s="91"/>
      <c r="BE265" s="91"/>
      <c r="BF265" s="91"/>
      <c r="BG265" s="91"/>
      <c r="BH265" s="91"/>
    </row>
    <row r="266" spans="2:60" s="17" customFormat="1" ht="19.5" thickTop="1">
      <c r="B266" s="247"/>
      <c r="C266" s="247"/>
      <c r="D266" s="247"/>
      <c r="E266" s="247"/>
      <c r="F266" s="247"/>
      <c r="G266" s="106"/>
      <c r="H266" s="144"/>
      <c r="I266" s="231"/>
      <c r="J266" s="231"/>
      <c r="K266" s="231"/>
      <c r="L266" s="231"/>
      <c r="M266" s="231"/>
      <c r="N266" s="91"/>
      <c r="O266" s="214"/>
      <c r="P266" s="214"/>
      <c r="Q266" s="214"/>
      <c r="R266" s="214"/>
      <c r="S266" s="214"/>
      <c r="T266" s="91"/>
      <c r="U266" s="197"/>
      <c r="V266" s="197"/>
      <c r="W266" s="197"/>
      <c r="X266" s="197"/>
      <c r="Y266" s="197"/>
      <c r="Z266" s="91"/>
      <c r="AA266" s="179"/>
      <c r="AB266" s="179"/>
      <c r="AC266" s="179"/>
      <c r="AD266" s="179"/>
      <c r="AE266" s="179"/>
      <c r="AF266" s="106"/>
      <c r="AG266" s="161"/>
      <c r="AH266" s="161"/>
      <c r="AI266" s="161"/>
      <c r="AJ266" s="161"/>
      <c r="AK266" s="161"/>
      <c r="AL266" s="91"/>
      <c r="AM266" s="106"/>
      <c r="AN266" s="106"/>
      <c r="AO266" s="106"/>
      <c r="AP266" s="106"/>
      <c r="AQ266" s="106"/>
      <c r="AR266" s="106"/>
      <c r="AS266" s="91"/>
      <c r="AT266" s="277"/>
      <c r="AU266" s="277"/>
      <c r="AV266" s="277"/>
      <c r="AW266" s="277"/>
      <c r="AX266" s="277"/>
      <c r="AY266" s="91"/>
      <c r="AZ266" s="144"/>
      <c r="BA266" s="91"/>
      <c r="BB266" s="91"/>
      <c r="BC266" s="91"/>
      <c r="BD266" s="91"/>
      <c r="BE266" s="91"/>
      <c r="BF266" s="91"/>
      <c r="BG266" s="91"/>
      <c r="BH266" s="91"/>
    </row>
    <row r="267" spans="2:60" s="17" customFormat="1" ht="18.75">
      <c r="B267" s="247"/>
      <c r="C267" s="247"/>
      <c r="D267" s="247"/>
      <c r="E267" s="247"/>
      <c r="F267" s="247"/>
      <c r="G267" s="106"/>
      <c r="H267" s="144"/>
      <c r="I267" s="231"/>
      <c r="J267" s="231"/>
      <c r="K267" s="231"/>
      <c r="L267" s="231"/>
      <c r="M267" s="231"/>
      <c r="N267" s="91"/>
      <c r="O267" s="214"/>
      <c r="P267" s="214"/>
      <c r="Q267" s="214"/>
      <c r="R267" s="214"/>
      <c r="S267" s="214"/>
      <c r="T267" s="91"/>
      <c r="U267" s="197"/>
      <c r="V267" s="197"/>
      <c r="W267" s="197"/>
      <c r="X267" s="197"/>
      <c r="Y267" s="197"/>
      <c r="Z267" s="91"/>
      <c r="AA267" s="179"/>
      <c r="AB267" s="179"/>
      <c r="AC267" s="179"/>
      <c r="AD267" s="179"/>
      <c r="AE267" s="179"/>
      <c r="AF267" s="106"/>
      <c r="AG267" s="161"/>
      <c r="AH267" s="161"/>
      <c r="AI267" s="161"/>
      <c r="AJ267" s="161"/>
      <c r="AK267" s="161"/>
      <c r="AL267" s="91"/>
      <c r="AM267" s="106"/>
      <c r="AN267" s="106"/>
      <c r="AO267" s="106"/>
      <c r="AP267" s="106"/>
      <c r="AQ267" s="106"/>
      <c r="AR267" s="106"/>
      <c r="AS267" s="91"/>
      <c r="AT267" s="277"/>
      <c r="AU267" s="277"/>
      <c r="AV267" s="277"/>
      <c r="AW267" s="277"/>
      <c r="AX267" s="277"/>
      <c r="AY267" s="91"/>
      <c r="AZ267" s="144"/>
      <c r="BA267" s="91"/>
      <c r="BB267" s="91"/>
      <c r="BC267" s="91"/>
      <c r="BD267" s="91"/>
      <c r="BE267" s="91"/>
      <c r="BF267" s="91"/>
      <c r="BG267" s="91"/>
      <c r="BH267" s="91"/>
    </row>
    <row r="268" spans="1:52" ht="18.75">
      <c r="A268" s="51" t="s">
        <v>480</v>
      </c>
      <c r="B268" s="248" t="s">
        <v>56</v>
      </c>
      <c r="C268" s="249" t="s">
        <v>57</v>
      </c>
      <c r="D268" s="248" t="s">
        <v>56</v>
      </c>
      <c r="E268" s="248" t="s">
        <v>57</v>
      </c>
      <c r="F268" s="250"/>
      <c r="G268" s="97"/>
      <c r="I268" s="232" t="s">
        <v>56</v>
      </c>
      <c r="J268" s="232" t="s">
        <v>57</v>
      </c>
      <c r="K268" s="232" t="s">
        <v>56</v>
      </c>
      <c r="L268" s="232" t="s">
        <v>57</v>
      </c>
      <c r="M268" s="232" t="s">
        <v>101</v>
      </c>
      <c r="O268" s="215" t="s">
        <v>56</v>
      </c>
      <c r="P268" s="215" t="s">
        <v>57</v>
      </c>
      <c r="Q268" s="215" t="s">
        <v>56</v>
      </c>
      <c r="R268" s="215" t="s">
        <v>57</v>
      </c>
      <c r="S268" s="215" t="s">
        <v>101</v>
      </c>
      <c r="U268" s="198" t="s">
        <v>56</v>
      </c>
      <c r="V268" s="198" t="s">
        <v>57</v>
      </c>
      <c r="W268" s="198" t="s">
        <v>56</v>
      </c>
      <c r="X268" s="198" t="s">
        <v>57</v>
      </c>
      <c r="Y268" s="198" t="s">
        <v>101</v>
      </c>
      <c r="AA268" s="180" t="s">
        <v>56</v>
      </c>
      <c r="AB268" s="180" t="s">
        <v>57</v>
      </c>
      <c r="AC268" s="180" t="s">
        <v>56</v>
      </c>
      <c r="AD268" s="180" t="s">
        <v>57</v>
      </c>
      <c r="AE268" s="180" t="s">
        <v>101</v>
      </c>
      <c r="AF268" s="97"/>
      <c r="AG268" s="162" t="s">
        <v>56</v>
      </c>
      <c r="AH268" s="162" t="s">
        <v>57</v>
      </c>
      <c r="AI268" s="162" t="s">
        <v>56</v>
      </c>
      <c r="AJ268" s="162" t="s">
        <v>57</v>
      </c>
      <c r="AK268" s="162" t="s">
        <v>101</v>
      </c>
      <c r="AM268" s="18" t="s">
        <v>56</v>
      </c>
      <c r="AN268" s="18" t="s">
        <v>57</v>
      </c>
      <c r="AO268" s="18" t="s">
        <v>101</v>
      </c>
      <c r="AP268" s="18" t="s">
        <v>56</v>
      </c>
      <c r="AQ268" s="18" t="s">
        <v>57</v>
      </c>
      <c r="AR268" s="18" t="s">
        <v>101</v>
      </c>
      <c r="AT268" s="278" t="s">
        <v>56</v>
      </c>
      <c r="AU268" s="278" t="s">
        <v>57</v>
      </c>
      <c r="AV268" s="278" t="s">
        <v>56</v>
      </c>
      <c r="AW268" s="278" t="s">
        <v>57</v>
      </c>
      <c r="AX268" s="278" t="s">
        <v>101</v>
      </c>
      <c r="AZ268" s="145" t="s">
        <v>411</v>
      </c>
    </row>
    <row r="269" spans="1:52" ht="18.75">
      <c r="A269" s="43" t="s">
        <v>291</v>
      </c>
      <c r="B269" s="251"/>
      <c r="C269" s="252"/>
      <c r="D269" s="251">
        <f>26724713.33+15589765.53</f>
        <v>42314478.86</v>
      </c>
      <c r="E269" s="251">
        <f>8074435.4+5176659.37-92750</f>
        <v>13158344.77</v>
      </c>
      <c r="F269" s="247">
        <f>SUM(B269:C269)</f>
        <v>0</v>
      </c>
      <c r="I269" s="233"/>
      <c r="J269" s="233"/>
      <c r="K269" s="233">
        <f>9997437.35</f>
        <v>9997437.35</v>
      </c>
      <c r="L269" s="233">
        <v>1471116.98</v>
      </c>
      <c r="M269" s="233">
        <f>SUM(K269:L269)</f>
        <v>11468554.33</v>
      </c>
      <c r="O269" s="216"/>
      <c r="P269" s="216"/>
      <c r="Q269" s="216">
        <v>3017412.8</v>
      </c>
      <c r="R269" s="216">
        <v>25632.37</v>
      </c>
      <c r="S269" s="216">
        <f>SUM(Q269:R269)</f>
        <v>3043045.17</v>
      </c>
      <c r="U269" s="199"/>
      <c r="V269" s="199"/>
      <c r="W269" s="199">
        <v>14520733.63</v>
      </c>
      <c r="X269" s="199">
        <v>352322.56</v>
      </c>
      <c r="Y269" s="199">
        <f>SUM(W269:X269)</f>
        <v>14873056.190000001</v>
      </c>
      <c r="AA269" s="181"/>
      <c r="AB269" s="181"/>
      <c r="AC269" s="181">
        <v>18678771.93</v>
      </c>
      <c r="AD269" s="181">
        <v>285691.42</v>
      </c>
      <c r="AE269" s="181">
        <f>SUM(AC269:AD269)</f>
        <v>18964463.35</v>
      </c>
      <c r="AG269" s="163"/>
      <c r="AH269" s="163"/>
      <c r="AI269" s="163">
        <v>16423625.56</v>
      </c>
      <c r="AJ269" s="163">
        <v>6795853.92</v>
      </c>
      <c r="AK269" s="163">
        <f>SUM(AI269:AJ269)</f>
        <v>23219479.48</v>
      </c>
      <c r="AM269" s="107">
        <v>12720255.23</v>
      </c>
      <c r="AN269" s="107">
        <v>171444.46</v>
      </c>
      <c r="AO269" s="18">
        <f>SUM(AM269:AN269)</f>
        <v>12891699.690000001</v>
      </c>
      <c r="AP269" s="107">
        <v>11604995.63</v>
      </c>
      <c r="AQ269" s="107">
        <v>90478.24</v>
      </c>
      <c r="AR269" s="107">
        <f>SUM(AP269:AQ269)</f>
        <v>11695473.870000001</v>
      </c>
      <c r="AT269" s="279"/>
      <c r="AU269" s="279"/>
      <c r="AV269" s="279">
        <f aca="true" t="shared" si="126" ref="AV269:AW271">+B269+K269+Q269+W269+AC269+AI269+AP269</f>
        <v>74242976.9</v>
      </c>
      <c r="AW269" s="279">
        <f t="shared" si="126"/>
        <v>9021095.49</v>
      </c>
      <c r="AX269" s="279">
        <f>SUM(AV269:AW269)</f>
        <v>83264072.39</v>
      </c>
      <c r="AY269" s="50">
        <v>118063221.12</v>
      </c>
      <c r="AZ269" s="137">
        <f>+AX269-AY269</f>
        <v>-34799148.730000004</v>
      </c>
    </row>
    <row r="270" spans="1:52" ht="18.75">
      <c r="A270" s="43" t="s">
        <v>292</v>
      </c>
      <c r="B270" s="251"/>
      <c r="C270" s="252"/>
      <c r="D270" s="251">
        <f>177710134.94+1709996.99+14841584.69-13989971.1</f>
        <v>180271745.52</v>
      </c>
      <c r="E270" s="251">
        <f>6321030.05+6523068.17+1507497.79-161298.28</f>
        <v>14190297.729999999</v>
      </c>
      <c r="F270" s="247">
        <f>SUM(B270:C270)</f>
        <v>0</v>
      </c>
      <c r="I270" s="233"/>
      <c r="J270" s="233"/>
      <c r="K270" s="233">
        <f>5961801.06</f>
        <v>5961801.06</v>
      </c>
      <c r="L270" s="233">
        <f>1903676.62</f>
        <v>1903676.62</v>
      </c>
      <c r="M270" s="233">
        <f>SUM(K270:L270)</f>
        <v>7865477.68</v>
      </c>
      <c r="O270" s="216"/>
      <c r="P270" s="216"/>
      <c r="Q270" s="216">
        <v>1241109.49</v>
      </c>
      <c r="R270" s="216">
        <v>115992.8</v>
      </c>
      <c r="S270" s="216">
        <f>SUM(Q270:R270)</f>
        <v>1357102.29</v>
      </c>
      <c r="U270" s="199"/>
      <c r="V270" s="199"/>
      <c r="W270" s="199">
        <f>7655638.54</f>
        <v>7655638.54</v>
      </c>
      <c r="X270" s="199">
        <f>2303099.9</f>
        <v>2303099.9</v>
      </c>
      <c r="Y270" s="199">
        <f>SUM(W270:X270)</f>
        <v>9958738.44</v>
      </c>
      <c r="AA270" s="181"/>
      <c r="AB270" s="181"/>
      <c r="AC270" s="181">
        <v>9891171.17</v>
      </c>
      <c r="AD270" s="181">
        <v>1592724.68</v>
      </c>
      <c r="AE270" s="181">
        <f>SUM(AC270:AD270)</f>
        <v>11483895.85</v>
      </c>
      <c r="AG270" s="163"/>
      <c r="AH270" s="163"/>
      <c r="AI270" s="163">
        <v>8498534.74</v>
      </c>
      <c r="AJ270" s="163">
        <v>3690524.58</v>
      </c>
      <c r="AK270" s="163">
        <f>SUM(AI270:AJ270)</f>
        <v>12189059.32</v>
      </c>
      <c r="AM270" s="107">
        <v>7733976.36</v>
      </c>
      <c r="AN270" s="107">
        <v>2465220.2</v>
      </c>
      <c r="AO270" s="18">
        <f>SUM(AM270:AN270)</f>
        <v>10199196.56</v>
      </c>
      <c r="AP270" s="107">
        <v>6139797.42</v>
      </c>
      <c r="AQ270" s="107">
        <v>2174293.57</v>
      </c>
      <c r="AR270" s="107">
        <f>SUM(AP270:AQ270)</f>
        <v>8314090.99</v>
      </c>
      <c r="AT270" s="279"/>
      <c r="AU270" s="279"/>
      <c r="AV270" s="279">
        <f t="shared" si="126"/>
        <v>39388052.42</v>
      </c>
      <c r="AW270" s="279">
        <f t="shared" si="126"/>
        <v>11780312.15</v>
      </c>
      <c r="AX270" s="279">
        <f>SUM(AV270:AW270)</f>
        <v>51168364.57</v>
      </c>
      <c r="AY270" s="50">
        <v>235199529.56</v>
      </c>
      <c r="AZ270" s="137">
        <f>+AX270-AY270</f>
        <v>-184031164.99</v>
      </c>
    </row>
    <row r="271" spans="1:50" ht="18.75">
      <c r="A271" s="61" t="s">
        <v>410</v>
      </c>
      <c r="B271" s="251">
        <v>0</v>
      </c>
      <c r="C271" s="252">
        <v>0</v>
      </c>
      <c r="D271" s="251">
        <v>0</v>
      </c>
      <c r="E271" s="251">
        <v>0</v>
      </c>
      <c r="F271" s="247">
        <f>SUM(B271:C271)</f>
        <v>0</v>
      </c>
      <c r="I271" s="233"/>
      <c r="J271" s="233"/>
      <c r="K271" s="233"/>
      <c r="L271" s="233"/>
      <c r="M271" s="233">
        <f>SUM(K271:L271)</f>
        <v>0</v>
      </c>
      <c r="O271" s="216"/>
      <c r="P271" s="216"/>
      <c r="Q271" s="216"/>
      <c r="R271" s="216"/>
      <c r="S271" s="216">
        <f>SUM(Q271:R271)</f>
        <v>0</v>
      </c>
      <c r="U271" s="199"/>
      <c r="V271" s="199"/>
      <c r="W271" s="199"/>
      <c r="X271" s="199"/>
      <c r="Y271" s="199">
        <f>SUM(W271:X271)</f>
        <v>0</v>
      </c>
      <c r="AA271" s="181"/>
      <c r="AB271" s="181"/>
      <c r="AC271" s="181"/>
      <c r="AD271" s="181"/>
      <c r="AE271" s="181">
        <f>SUM(AC271:AD271)</f>
        <v>0</v>
      </c>
      <c r="AG271" s="163"/>
      <c r="AH271" s="163"/>
      <c r="AI271" s="163"/>
      <c r="AJ271" s="163">
        <v>10000</v>
      </c>
      <c r="AK271" s="163">
        <f>SUM(AI271:AJ271)</f>
        <v>10000</v>
      </c>
      <c r="AM271" s="107">
        <v>0</v>
      </c>
      <c r="AN271" s="107">
        <v>0</v>
      </c>
      <c r="AO271" s="18">
        <f>SUM(AM271:AN271)</f>
        <v>0</v>
      </c>
      <c r="AP271" s="107">
        <v>0</v>
      </c>
      <c r="AQ271" s="107">
        <v>0</v>
      </c>
      <c r="AR271" s="107">
        <f>SUM(AP271:AQ271)</f>
        <v>0</v>
      </c>
      <c r="AT271" s="279"/>
      <c r="AU271" s="279"/>
      <c r="AV271" s="279">
        <f t="shared" si="126"/>
        <v>0</v>
      </c>
      <c r="AW271" s="279">
        <f t="shared" si="126"/>
        <v>10000</v>
      </c>
      <c r="AX271" s="279">
        <f>SUM(AV271:AW271)</f>
        <v>10000</v>
      </c>
    </row>
    <row r="272" spans="1:60" s="17" customFormat="1" ht="19.5" thickBot="1">
      <c r="A272" s="17" t="s">
        <v>151</v>
      </c>
      <c r="B272" s="255">
        <f>SUM(B269:B271)</f>
        <v>0</v>
      </c>
      <c r="C272" s="256">
        <f>SUM(C269:C271)</f>
        <v>0</v>
      </c>
      <c r="D272" s="255">
        <f>SUM(D269:D271)</f>
        <v>222586224.38</v>
      </c>
      <c r="E272" s="255">
        <f>SUM(E269:E271)</f>
        <v>27348642.5</v>
      </c>
      <c r="F272" s="257">
        <f>SUM(F269:F271)</f>
        <v>0</v>
      </c>
      <c r="G272" s="106"/>
      <c r="H272" s="144"/>
      <c r="I272" s="236">
        <f>SUM(I269:I271)</f>
        <v>0</v>
      </c>
      <c r="J272" s="236">
        <f>SUM(J269:J271)</f>
        <v>0</v>
      </c>
      <c r="K272" s="236">
        <f>SUM(K269:K271)</f>
        <v>15959238.41</v>
      </c>
      <c r="L272" s="236">
        <f>SUM(L269:L271)</f>
        <v>3374793.6</v>
      </c>
      <c r="M272" s="236">
        <f>SUM(M269:M271)</f>
        <v>19334032.009999998</v>
      </c>
      <c r="N272" s="91"/>
      <c r="O272" s="218">
        <f>SUM(O269:O271)</f>
        <v>0</v>
      </c>
      <c r="P272" s="218">
        <f>SUM(P269:P271)</f>
        <v>0</v>
      </c>
      <c r="Q272" s="218">
        <f>SUM(Q269:Q271)</f>
        <v>4258522.29</v>
      </c>
      <c r="R272" s="218">
        <f>SUM(R269:R271)</f>
        <v>141625.17</v>
      </c>
      <c r="S272" s="218">
        <f>SUM(S269:S271)</f>
        <v>4400147.46</v>
      </c>
      <c r="T272" s="91"/>
      <c r="U272" s="201">
        <f>SUM(U269:U271)</f>
        <v>0</v>
      </c>
      <c r="V272" s="201">
        <f>SUM(V269:V271)</f>
        <v>0</v>
      </c>
      <c r="W272" s="201">
        <f>SUM(W269:W271)</f>
        <v>22176372.17</v>
      </c>
      <c r="X272" s="201">
        <f>SUM(X269:X271)</f>
        <v>2655422.46</v>
      </c>
      <c r="Y272" s="201">
        <f>SUM(Y269:Y271)</f>
        <v>24831794.630000003</v>
      </c>
      <c r="Z272" s="91"/>
      <c r="AA272" s="183">
        <f>SUM(AA269:AA271)</f>
        <v>0</v>
      </c>
      <c r="AB272" s="183">
        <f>SUM(AB269:AB271)</f>
        <v>0</v>
      </c>
      <c r="AC272" s="183">
        <f>SUM(AC269:AC271)</f>
        <v>28569943.1</v>
      </c>
      <c r="AD272" s="183">
        <f>SUM(AD269:AD271)</f>
        <v>1878416.0999999999</v>
      </c>
      <c r="AE272" s="183">
        <f>SUM(AE269:AE271)</f>
        <v>30448359.200000003</v>
      </c>
      <c r="AF272" s="106"/>
      <c r="AG272" s="165">
        <f>SUM(AG269:AG271)</f>
        <v>0</v>
      </c>
      <c r="AH272" s="165">
        <f>SUM(AH269:AH271)</f>
        <v>0</v>
      </c>
      <c r="AI272" s="165">
        <f>SUM(AI269:AI271)</f>
        <v>24922160.3</v>
      </c>
      <c r="AJ272" s="165">
        <f>SUM(AJ269:AJ271)</f>
        <v>10496378.5</v>
      </c>
      <c r="AK272" s="165">
        <f>SUM(AK269:AK271)</f>
        <v>35418538.8</v>
      </c>
      <c r="AL272" s="91"/>
      <c r="AM272" s="300">
        <f aca="true" t="shared" si="127" ref="AM272:AR272">SUM(AM269:AM271)</f>
        <v>20454231.59</v>
      </c>
      <c r="AN272" s="300">
        <f t="shared" si="127"/>
        <v>2636664.66</v>
      </c>
      <c r="AO272" s="300">
        <f t="shared" si="127"/>
        <v>23090896.25</v>
      </c>
      <c r="AP272" s="300">
        <f t="shared" si="127"/>
        <v>17744793.05</v>
      </c>
      <c r="AQ272" s="300">
        <f t="shared" si="127"/>
        <v>2264771.81</v>
      </c>
      <c r="AR272" s="300">
        <f t="shared" si="127"/>
        <v>20009564.86</v>
      </c>
      <c r="AS272" s="91"/>
      <c r="AT272" s="281">
        <f>SUM(AT269:AT271)</f>
        <v>0</v>
      </c>
      <c r="AU272" s="281">
        <f>SUM(AU269:AU271)</f>
        <v>0</v>
      </c>
      <c r="AV272" s="281">
        <f>SUM(AV269:AV271)</f>
        <v>113631029.32000001</v>
      </c>
      <c r="AW272" s="281">
        <f>SUM(AW269:AW271)</f>
        <v>20811407.64</v>
      </c>
      <c r="AX272" s="281">
        <f>SUM(AX269:AX271)</f>
        <v>134442436.96</v>
      </c>
      <c r="AY272" s="91"/>
      <c r="AZ272" s="144"/>
      <c r="BA272" s="91"/>
      <c r="BB272" s="91"/>
      <c r="BC272" s="91"/>
      <c r="BD272" s="91"/>
      <c r="BE272" s="91"/>
      <c r="BF272" s="91"/>
      <c r="BG272" s="91"/>
      <c r="BH272" s="91"/>
    </row>
    <row r="273" spans="2:60" s="17" customFormat="1" ht="19.5" thickTop="1">
      <c r="B273" s="247"/>
      <c r="C273" s="247"/>
      <c r="D273" s="247"/>
      <c r="E273" s="247"/>
      <c r="F273" s="247"/>
      <c r="G273" s="106"/>
      <c r="H273" s="144"/>
      <c r="I273" s="231"/>
      <c r="J273" s="231"/>
      <c r="K273" s="231"/>
      <c r="L273" s="231"/>
      <c r="M273" s="231"/>
      <c r="N273" s="91"/>
      <c r="O273" s="214"/>
      <c r="P273" s="214"/>
      <c r="Q273" s="214"/>
      <c r="R273" s="214"/>
      <c r="S273" s="214"/>
      <c r="T273" s="91"/>
      <c r="U273" s="197"/>
      <c r="V273" s="197"/>
      <c r="W273" s="197"/>
      <c r="X273" s="197"/>
      <c r="Y273" s="197"/>
      <c r="Z273" s="91"/>
      <c r="AA273" s="179"/>
      <c r="AB273" s="179"/>
      <c r="AC273" s="179"/>
      <c r="AD273" s="179"/>
      <c r="AE273" s="179"/>
      <c r="AF273" s="106"/>
      <c r="AG273" s="161"/>
      <c r="AH273" s="161"/>
      <c r="AI273" s="161"/>
      <c r="AJ273" s="161"/>
      <c r="AK273" s="161"/>
      <c r="AL273" s="91"/>
      <c r="AM273" s="106"/>
      <c r="AN273" s="106"/>
      <c r="AO273" s="106"/>
      <c r="AP273" s="106"/>
      <c r="AQ273" s="106"/>
      <c r="AR273" s="106"/>
      <c r="AS273" s="91"/>
      <c r="AT273" s="277"/>
      <c r="AU273" s="277"/>
      <c r="AV273" s="277"/>
      <c r="AW273" s="277"/>
      <c r="AX273" s="277"/>
      <c r="AY273" s="91"/>
      <c r="AZ273" s="144"/>
      <c r="BA273" s="91"/>
      <c r="BB273" s="91"/>
      <c r="BC273" s="91"/>
      <c r="BD273" s="91"/>
      <c r="BE273" s="91"/>
      <c r="BF273" s="91"/>
      <c r="BG273" s="91"/>
      <c r="BH273" s="91"/>
    </row>
    <row r="274" spans="2:60" s="17" customFormat="1" ht="18.75">
      <c r="B274" s="247"/>
      <c r="C274" s="247"/>
      <c r="D274" s="247"/>
      <c r="E274" s="247"/>
      <c r="F274" s="247"/>
      <c r="G274" s="106"/>
      <c r="H274" s="144"/>
      <c r="I274" s="231"/>
      <c r="J274" s="231"/>
      <c r="K274" s="231"/>
      <c r="L274" s="231"/>
      <c r="M274" s="231"/>
      <c r="N274" s="91"/>
      <c r="O274" s="214"/>
      <c r="P274" s="214"/>
      <c r="Q274" s="214"/>
      <c r="R274" s="214"/>
      <c r="S274" s="214"/>
      <c r="T274" s="91"/>
      <c r="U274" s="197"/>
      <c r="V274" s="197"/>
      <c r="W274" s="197"/>
      <c r="X274" s="197"/>
      <c r="Y274" s="197"/>
      <c r="Z274" s="91"/>
      <c r="AA274" s="179"/>
      <c r="AB274" s="179"/>
      <c r="AC274" s="179"/>
      <c r="AD274" s="179"/>
      <c r="AE274" s="179"/>
      <c r="AF274" s="106"/>
      <c r="AG274" s="161"/>
      <c r="AH274" s="161"/>
      <c r="AI274" s="161"/>
      <c r="AJ274" s="161"/>
      <c r="AK274" s="161"/>
      <c r="AL274" s="91"/>
      <c r="AM274" s="106"/>
      <c r="AN274" s="106"/>
      <c r="AO274" s="106"/>
      <c r="AP274" s="106"/>
      <c r="AQ274" s="106"/>
      <c r="AR274" s="106"/>
      <c r="AS274" s="91"/>
      <c r="AT274" s="277"/>
      <c r="AU274" s="277"/>
      <c r="AV274" s="277"/>
      <c r="AW274" s="277"/>
      <c r="AX274" s="277"/>
      <c r="AY274" s="91"/>
      <c r="AZ274" s="144"/>
      <c r="BA274" s="91"/>
      <c r="BB274" s="91"/>
      <c r="BC274" s="91"/>
      <c r="BD274" s="91"/>
      <c r="BE274" s="91"/>
      <c r="BF274" s="91"/>
      <c r="BG274" s="91"/>
      <c r="BH274" s="91"/>
    </row>
    <row r="275" spans="1:50" ht="18.75">
      <c r="A275" s="51" t="s">
        <v>481</v>
      </c>
      <c r="B275" s="248" t="s">
        <v>56</v>
      </c>
      <c r="C275" s="249" t="s">
        <v>57</v>
      </c>
      <c r="D275" s="248" t="s">
        <v>56</v>
      </c>
      <c r="E275" s="248" t="s">
        <v>57</v>
      </c>
      <c r="F275" s="250"/>
      <c r="G275" s="97"/>
      <c r="I275" s="232" t="s">
        <v>56</v>
      </c>
      <c r="J275" s="232" t="s">
        <v>57</v>
      </c>
      <c r="K275" s="232" t="s">
        <v>56</v>
      </c>
      <c r="L275" s="232" t="s">
        <v>57</v>
      </c>
      <c r="M275" s="232" t="s">
        <v>101</v>
      </c>
      <c r="O275" s="215" t="s">
        <v>56</v>
      </c>
      <c r="P275" s="215" t="s">
        <v>57</v>
      </c>
      <c r="Q275" s="215" t="s">
        <v>56</v>
      </c>
      <c r="R275" s="215" t="s">
        <v>57</v>
      </c>
      <c r="S275" s="215" t="s">
        <v>101</v>
      </c>
      <c r="U275" s="198" t="s">
        <v>56</v>
      </c>
      <c r="V275" s="198" t="s">
        <v>57</v>
      </c>
      <c r="W275" s="198" t="s">
        <v>56</v>
      </c>
      <c r="X275" s="198" t="s">
        <v>57</v>
      </c>
      <c r="Y275" s="198" t="s">
        <v>101</v>
      </c>
      <c r="AA275" s="180" t="s">
        <v>56</v>
      </c>
      <c r="AB275" s="180" t="s">
        <v>57</v>
      </c>
      <c r="AC275" s="180" t="s">
        <v>56</v>
      </c>
      <c r="AD275" s="180" t="s">
        <v>57</v>
      </c>
      <c r="AE275" s="180" t="s">
        <v>101</v>
      </c>
      <c r="AF275" s="97"/>
      <c r="AG275" s="162" t="s">
        <v>56</v>
      </c>
      <c r="AH275" s="162" t="s">
        <v>57</v>
      </c>
      <c r="AI275" s="162" t="s">
        <v>56</v>
      </c>
      <c r="AJ275" s="162" t="s">
        <v>57</v>
      </c>
      <c r="AK275" s="162" t="s">
        <v>101</v>
      </c>
      <c r="AM275" s="18" t="s">
        <v>56</v>
      </c>
      <c r="AN275" s="18" t="s">
        <v>57</v>
      </c>
      <c r="AO275" s="18" t="s">
        <v>101</v>
      </c>
      <c r="AP275" s="18" t="s">
        <v>56</v>
      </c>
      <c r="AQ275" s="18" t="s">
        <v>57</v>
      </c>
      <c r="AR275" s="18" t="s">
        <v>101</v>
      </c>
      <c r="AT275" s="278" t="s">
        <v>56</v>
      </c>
      <c r="AU275" s="278" t="s">
        <v>57</v>
      </c>
      <c r="AV275" s="278" t="s">
        <v>56</v>
      </c>
      <c r="AW275" s="278" t="s">
        <v>57</v>
      </c>
      <c r="AX275" s="278" t="s">
        <v>101</v>
      </c>
    </row>
    <row r="276" spans="1:52" ht="18.75">
      <c r="A276" s="43" t="s">
        <v>252</v>
      </c>
      <c r="B276" s="251"/>
      <c r="C276" s="252"/>
      <c r="D276" s="251">
        <v>0</v>
      </c>
      <c r="E276" s="251">
        <v>5195793</v>
      </c>
      <c r="F276" s="250">
        <f>SUM(B276:C276)</f>
        <v>0</v>
      </c>
      <c r="G276" s="97"/>
      <c r="I276" s="233"/>
      <c r="J276" s="233"/>
      <c r="K276" s="233">
        <v>35000</v>
      </c>
      <c r="L276" s="233">
        <v>1200</v>
      </c>
      <c r="M276" s="233">
        <f>SUM(K276:L276)</f>
        <v>36200</v>
      </c>
      <c r="O276" s="216"/>
      <c r="P276" s="216"/>
      <c r="Q276" s="216">
        <v>4866223.08</v>
      </c>
      <c r="R276" s="216">
        <v>392084.16</v>
      </c>
      <c r="S276" s="216">
        <f>SUM(Q276:R276)</f>
        <v>5258307.24</v>
      </c>
      <c r="U276" s="199"/>
      <c r="V276" s="199"/>
      <c r="W276" s="199"/>
      <c r="X276" s="199">
        <v>114312</v>
      </c>
      <c r="Y276" s="199">
        <f>SUM(W276:X276)</f>
        <v>114312</v>
      </c>
      <c r="AA276" s="181"/>
      <c r="AB276" s="181"/>
      <c r="AC276" s="181"/>
      <c r="AD276" s="181">
        <v>2368388</v>
      </c>
      <c r="AE276" s="181">
        <f>SUM(AC276:AD276)</f>
        <v>2368388</v>
      </c>
      <c r="AG276" s="163"/>
      <c r="AH276" s="163"/>
      <c r="AI276" s="163">
        <f>540473.5+1348380.24</f>
        <v>1888853.74</v>
      </c>
      <c r="AJ276" s="163">
        <v>30005078</v>
      </c>
      <c r="AK276" s="163">
        <f>SUM(AI276:AJ276)</f>
        <v>31893931.74</v>
      </c>
      <c r="AM276" s="107">
        <v>0</v>
      </c>
      <c r="AN276" s="107">
        <v>294600</v>
      </c>
      <c r="AO276" s="18">
        <f>SUM(AM276:AN276)</f>
        <v>294600</v>
      </c>
      <c r="AP276" s="107">
        <v>0</v>
      </c>
      <c r="AQ276" s="107">
        <f>1574395.54</f>
        <v>1574395.54</v>
      </c>
      <c r="AR276" s="107">
        <f>SUM(AP276:AQ276)</f>
        <v>1574395.54</v>
      </c>
      <c r="AT276" s="279"/>
      <c r="AU276" s="279"/>
      <c r="AV276" s="279">
        <f aca="true" t="shared" si="128" ref="AV276:AW280">+B276+K276+Q276+W276+AC276+AI276+AP276</f>
        <v>6790076.82</v>
      </c>
      <c r="AW276" s="279">
        <f t="shared" si="128"/>
        <v>34455457.7</v>
      </c>
      <c r="AX276" s="279">
        <f>SUM(AV276:AW276)</f>
        <v>41245534.52</v>
      </c>
      <c r="AZ276" s="137">
        <v>4000</v>
      </c>
    </row>
    <row r="277" spans="1:54" ht="18.75">
      <c r="A277" s="43" t="s">
        <v>225</v>
      </c>
      <c r="B277" s="251"/>
      <c r="C277" s="252"/>
      <c r="D277" s="251">
        <v>-33592000</v>
      </c>
      <c r="E277" s="251">
        <v>0</v>
      </c>
      <c r="F277" s="250">
        <f>SUM(B277:C277)</f>
        <v>0</v>
      </c>
      <c r="G277" s="97"/>
      <c r="I277" s="233"/>
      <c r="J277" s="233"/>
      <c r="K277" s="233"/>
      <c r="L277" s="233"/>
      <c r="M277" s="233">
        <f>SUM(K277:L277)</f>
        <v>0</v>
      </c>
      <c r="O277" s="216"/>
      <c r="P277" s="216"/>
      <c r="Q277" s="216"/>
      <c r="R277" s="216"/>
      <c r="S277" s="216">
        <f>SUM(Q277:R277)</f>
        <v>0</v>
      </c>
      <c r="U277" s="199"/>
      <c r="V277" s="199"/>
      <c r="W277" s="199"/>
      <c r="X277" s="199"/>
      <c r="Y277" s="199">
        <f>SUM(W277:X277)</f>
        <v>0</v>
      </c>
      <c r="AA277" s="181"/>
      <c r="AB277" s="181"/>
      <c r="AC277" s="181">
        <f>1327000-840000</f>
        <v>487000</v>
      </c>
      <c r="AD277" s="181"/>
      <c r="AE277" s="181">
        <f>SUM(AC277:AD277)</f>
        <v>487000</v>
      </c>
      <c r="AG277" s="163"/>
      <c r="AH277" s="163"/>
      <c r="AI277" s="163"/>
      <c r="AJ277" s="163"/>
      <c r="AK277" s="163">
        <f>SUM(AI277:AJ277)</f>
        <v>0</v>
      </c>
      <c r="AM277" s="107">
        <v>0</v>
      </c>
      <c r="AN277" s="107">
        <v>-723600</v>
      </c>
      <c r="AO277" s="18">
        <f>SUM(AM277:AN277)</f>
        <v>-723600</v>
      </c>
      <c r="AP277" s="107">
        <v>0</v>
      </c>
      <c r="AQ277" s="107">
        <v>0</v>
      </c>
      <c r="AR277" s="107">
        <f>SUM(AP277:AQ277)</f>
        <v>0</v>
      </c>
      <c r="AT277" s="279"/>
      <c r="AU277" s="279"/>
      <c r="AV277" s="279">
        <f t="shared" si="128"/>
        <v>487000</v>
      </c>
      <c r="AW277" s="279">
        <f t="shared" si="128"/>
        <v>0</v>
      </c>
      <c r="AX277" s="279">
        <f>SUM(AV277:AW277)</f>
        <v>487000</v>
      </c>
      <c r="AZ277" s="137">
        <v>200</v>
      </c>
      <c r="BB277" s="50">
        <v>700</v>
      </c>
    </row>
    <row r="278" spans="1:54" ht="18.75">
      <c r="A278" s="43" t="s">
        <v>152</v>
      </c>
      <c r="B278" s="251"/>
      <c r="C278" s="252"/>
      <c r="D278" s="251">
        <v>86908998.08</v>
      </c>
      <c r="E278" s="251">
        <v>0</v>
      </c>
      <c r="F278" s="250">
        <f>SUM(B278:C278)</f>
        <v>0</v>
      </c>
      <c r="G278" s="97"/>
      <c r="I278" s="233"/>
      <c r="J278" s="233"/>
      <c r="K278" s="233"/>
      <c r="L278" s="233"/>
      <c r="M278" s="233">
        <f>SUM(K278:L278)</f>
        <v>0</v>
      </c>
      <c r="O278" s="216"/>
      <c r="P278" s="216"/>
      <c r="Q278" s="216"/>
      <c r="R278" s="216"/>
      <c r="S278" s="216">
        <f>SUM(Q278:R278)</f>
        <v>0</v>
      </c>
      <c r="U278" s="199"/>
      <c r="V278" s="199"/>
      <c r="W278" s="199"/>
      <c r="X278" s="199"/>
      <c r="Y278" s="199">
        <f>SUM(W278:X278)</f>
        <v>0</v>
      </c>
      <c r="AA278" s="194"/>
      <c r="AB278" s="181"/>
      <c r="AC278" s="194">
        <v>487000</v>
      </c>
      <c r="AD278" s="181"/>
      <c r="AE278" s="181">
        <f>SUM(AC278:AD278)</f>
        <v>487000</v>
      </c>
      <c r="AG278" s="163"/>
      <c r="AH278" s="163"/>
      <c r="AI278" s="163">
        <v>2689354</v>
      </c>
      <c r="AJ278" s="163"/>
      <c r="AK278" s="163">
        <f>SUM(AI278:AJ278)</f>
        <v>2689354</v>
      </c>
      <c r="AM278" s="107">
        <v>0</v>
      </c>
      <c r="AN278" s="107">
        <v>723600</v>
      </c>
      <c r="AO278" s="18">
        <f>SUM(AM278:AN278)</f>
        <v>723600</v>
      </c>
      <c r="AP278" s="107">
        <v>0</v>
      </c>
      <c r="AQ278" s="107">
        <v>0</v>
      </c>
      <c r="AR278" s="107">
        <f>SUM(AP278:AQ278)</f>
        <v>0</v>
      </c>
      <c r="AT278" s="279"/>
      <c r="AU278" s="279"/>
      <c r="AV278" s="279">
        <f t="shared" si="128"/>
        <v>3176354</v>
      </c>
      <c r="AW278" s="279">
        <f t="shared" si="128"/>
        <v>0</v>
      </c>
      <c r="AX278" s="279">
        <f>SUM(AV278:AW278)</f>
        <v>3176354</v>
      </c>
      <c r="AZ278" s="137">
        <v>200</v>
      </c>
      <c r="BB278" s="50">
        <v>1400</v>
      </c>
    </row>
    <row r="279" spans="1:54" ht="18.75">
      <c r="A279" s="43" t="s">
        <v>430</v>
      </c>
      <c r="B279" s="251"/>
      <c r="C279" s="252"/>
      <c r="D279" s="251">
        <f>-298262443.55-165765720.24</f>
        <v>-464028163.79</v>
      </c>
      <c r="E279" s="251">
        <v>0</v>
      </c>
      <c r="F279" s="250">
        <f>SUM(B279:C279)</f>
        <v>0</v>
      </c>
      <c r="G279" s="97"/>
      <c r="I279" s="233"/>
      <c r="J279" s="233"/>
      <c r="K279" s="233">
        <v>-21200788.54</v>
      </c>
      <c r="L279" s="233"/>
      <c r="M279" s="233">
        <f>SUM(K279:L279)</f>
        <v>-21200788.54</v>
      </c>
      <c r="O279" s="216"/>
      <c r="P279" s="216"/>
      <c r="Q279" s="216">
        <v>-4368174.43</v>
      </c>
      <c r="R279" s="216"/>
      <c r="S279" s="216">
        <f>SUM(Q279:R279)</f>
        <v>-4368174.43</v>
      </c>
      <c r="T279" s="50">
        <v>4368174.43</v>
      </c>
      <c r="U279" s="199"/>
      <c r="V279" s="199"/>
      <c r="W279" s="199">
        <v>-21420578.34</v>
      </c>
      <c r="X279" s="199"/>
      <c r="Y279" s="199">
        <f>SUM(W279:X279)</f>
        <v>-21420578.34</v>
      </c>
      <c r="AA279" s="181"/>
      <c r="AB279" s="181"/>
      <c r="AC279" s="181">
        <v>-26805787.07</v>
      </c>
      <c r="AD279" s="181"/>
      <c r="AE279" s="181">
        <f>SUM(AC279:AD279)</f>
        <v>-26805787.07</v>
      </c>
      <c r="AG279" s="163"/>
      <c r="AI279" s="163">
        <v>-63098538.48</v>
      </c>
      <c r="AK279" s="163">
        <f>SUM(AI279:AJ279)</f>
        <v>-63098538.48</v>
      </c>
      <c r="AM279" s="107">
        <v>0</v>
      </c>
      <c r="AN279" s="93">
        <v>-24754329.95</v>
      </c>
      <c r="AO279" s="18">
        <f>SUM(AM279:AN279)</f>
        <v>-24754329.95</v>
      </c>
      <c r="AP279" s="107">
        <v>0</v>
      </c>
      <c r="AQ279" s="93">
        <v>-28871853.38</v>
      </c>
      <c r="AR279" s="107">
        <f>SUM(AP279:AQ279)</f>
        <v>-28871853.38</v>
      </c>
      <c r="AS279" s="50">
        <v>-28871853.38</v>
      </c>
      <c r="AT279" s="279"/>
      <c r="AU279" s="279"/>
      <c r="AV279" s="279">
        <f t="shared" si="128"/>
        <v>-136893866.85999998</v>
      </c>
      <c r="AW279" s="279">
        <f t="shared" si="128"/>
        <v>-28871853.38</v>
      </c>
      <c r="AX279" s="279">
        <f>SUM(AV279:AW279)</f>
        <v>-165765720.23999998</v>
      </c>
      <c r="AZ279" s="137">
        <v>200</v>
      </c>
      <c r="BB279" s="50">
        <v>700</v>
      </c>
    </row>
    <row r="280" spans="1:54" ht="18.75">
      <c r="A280" s="43" t="s">
        <v>429</v>
      </c>
      <c r="B280" s="251"/>
      <c r="C280" s="252"/>
      <c r="D280" s="251">
        <f>304395564.23+169713365.62</f>
        <v>474108929.85</v>
      </c>
      <c r="E280" s="251">
        <v>0</v>
      </c>
      <c r="F280" s="250">
        <f>SUM(B280:C280)</f>
        <v>0</v>
      </c>
      <c r="G280" s="97"/>
      <c r="I280" s="233"/>
      <c r="J280" s="233"/>
      <c r="K280" s="233">
        <v>21244724.54</v>
      </c>
      <c r="L280" s="233"/>
      <c r="M280" s="233">
        <f>SUM(K280:L280)</f>
        <v>21244724.54</v>
      </c>
      <c r="O280" s="216"/>
      <c r="P280" s="216"/>
      <c r="Q280" s="216">
        <v>4368174.43</v>
      </c>
      <c r="R280" s="216"/>
      <c r="S280" s="216">
        <f>SUM(Q280:R280)</f>
        <v>4368174.43</v>
      </c>
      <c r="T280" s="50">
        <v>4368174.43</v>
      </c>
      <c r="U280" s="199"/>
      <c r="V280" s="199"/>
      <c r="W280" s="199">
        <v>21932230.66</v>
      </c>
      <c r="X280" s="199"/>
      <c r="Y280" s="199">
        <f>SUM(W280:X280)</f>
        <v>21932230.66</v>
      </c>
      <c r="AA280" s="181"/>
      <c r="AB280" s="181"/>
      <c r="AC280" s="181">
        <v>28124906.82</v>
      </c>
      <c r="AD280" s="181"/>
      <c r="AE280" s="181">
        <f>SUM(AC280:AD280)</f>
        <v>28124906.82</v>
      </c>
      <c r="AG280" s="163"/>
      <c r="AH280" s="163"/>
      <c r="AI280" s="163">
        <v>64302410.93</v>
      </c>
      <c r="AJ280" s="163"/>
      <c r="AK280" s="163">
        <f>SUM(AI280:AJ280)</f>
        <v>64302410.93</v>
      </c>
      <c r="AM280" s="107">
        <v>0</v>
      </c>
      <c r="AN280" s="107">
        <v>25072787.96</v>
      </c>
      <c r="AO280" s="18">
        <f>SUM(AM280:AN280)</f>
        <v>25072787.96</v>
      </c>
      <c r="AP280" s="107">
        <v>0</v>
      </c>
      <c r="AQ280" s="107">
        <v>29740918.24</v>
      </c>
      <c r="AR280" s="107">
        <f>SUM(AP280:AQ280)</f>
        <v>29740918.24</v>
      </c>
      <c r="AS280" s="50">
        <v>29740918.24</v>
      </c>
      <c r="AT280" s="279"/>
      <c r="AU280" s="279"/>
      <c r="AV280" s="279">
        <f t="shared" si="128"/>
        <v>139972447.38</v>
      </c>
      <c r="AW280" s="279">
        <f t="shared" si="128"/>
        <v>29740918.24</v>
      </c>
      <c r="AX280" s="279">
        <f>SUM(AV280:AW280)</f>
        <v>169713365.62</v>
      </c>
      <c r="AY280" s="50">
        <f>SUM(AX279:AX280)</f>
        <v>3947645.380000025</v>
      </c>
      <c r="AZ280" s="137">
        <v>880</v>
      </c>
      <c r="BB280" s="50">
        <v>700</v>
      </c>
    </row>
    <row r="281" spans="1:60" s="17" customFormat="1" ht="19.5" thickBot="1">
      <c r="A281" s="17" t="s">
        <v>153</v>
      </c>
      <c r="B281" s="255">
        <f>SUM(B276:B280)</f>
        <v>0</v>
      </c>
      <c r="C281" s="256">
        <f>SUM(C276:C280)</f>
        <v>0</v>
      </c>
      <c r="D281" s="255">
        <f>SUM(D276:D280)</f>
        <v>63397764.139999986</v>
      </c>
      <c r="E281" s="255">
        <f>SUM(E276:E280)</f>
        <v>5195793</v>
      </c>
      <c r="F281" s="257">
        <f>SUM(F276:F280)</f>
        <v>0</v>
      </c>
      <c r="G281" s="106"/>
      <c r="H281" s="144"/>
      <c r="I281" s="236">
        <f>SUM(I276:I280)</f>
        <v>0</v>
      </c>
      <c r="J281" s="236">
        <f>SUM(J276:J280)</f>
        <v>0</v>
      </c>
      <c r="K281" s="236">
        <f>SUM(K276:K280)</f>
        <v>78936</v>
      </c>
      <c r="L281" s="236">
        <f>SUM(L276:L280)</f>
        <v>1200</v>
      </c>
      <c r="M281" s="236">
        <f>SUM(M276:M280)</f>
        <v>80136</v>
      </c>
      <c r="N281" s="91"/>
      <c r="O281" s="218">
        <f>SUM(O276:O280)</f>
        <v>0</v>
      </c>
      <c r="P281" s="218">
        <f>SUM(P276:P280)</f>
        <v>0</v>
      </c>
      <c r="Q281" s="218">
        <f>SUM(Q276:Q280)</f>
        <v>4866223.08</v>
      </c>
      <c r="R281" s="218">
        <f>SUM(R276:R280)</f>
        <v>392084.16</v>
      </c>
      <c r="S281" s="218">
        <f>SUM(S276:S280)</f>
        <v>5258307.24</v>
      </c>
      <c r="T281" s="91"/>
      <c r="U281" s="201">
        <f>SUM(U276:U280)</f>
        <v>0</v>
      </c>
      <c r="V281" s="201">
        <f>SUM(V276:V280)</f>
        <v>0</v>
      </c>
      <c r="W281" s="201">
        <f>SUM(W276:W280)</f>
        <v>511652.3200000003</v>
      </c>
      <c r="X281" s="201">
        <f>SUM(X276:X280)</f>
        <v>114312</v>
      </c>
      <c r="Y281" s="201">
        <f>SUM(Y276:Y280)</f>
        <v>625964.3200000003</v>
      </c>
      <c r="Z281" s="91"/>
      <c r="AA281" s="183">
        <f>SUM(AA276:AA280)</f>
        <v>0</v>
      </c>
      <c r="AB281" s="183">
        <f>SUM(AB276:AB280)</f>
        <v>0</v>
      </c>
      <c r="AC281" s="183">
        <f>SUM(AC276:AC280)</f>
        <v>2293119.75</v>
      </c>
      <c r="AD281" s="183">
        <f>SUM(AD276:AD280)</f>
        <v>2368388</v>
      </c>
      <c r="AE281" s="183">
        <f>SUM(AE276:AE280)</f>
        <v>4661507.75</v>
      </c>
      <c r="AF281" s="106"/>
      <c r="AG281" s="165">
        <f>SUM(AG276:AG280)</f>
        <v>0</v>
      </c>
      <c r="AH281" s="165">
        <f>SUM(AH276:AH280)</f>
        <v>0</v>
      </c>
      <c r="AI281" s="165">
        <f>SUM(AI276:AI280)</f>
        <v>5782080.190000005</v>
      </c>
      <c r="AJ281" s="165">
        <f>SUM(AJ276:AJ280)</f>
        <v>30005078</v>
      </c>
      <c r="AK281" s="165">
        <f>SUM(AK276:AK280)</f>
        <v>35787158.19</v>
      </c>
      <c r="AL281" s="91"/>
      <c r="AM281" s="300">
        <f aca="true" t="shared" si="129" ref="AM281:AR281">SUM(AM276:AM280)</f>
        <v>0</v>
      </c>
      <c r="AN281" s="300">
        <f t="shared" si="129"/>
        <v>613058.0100000016</v>
      </c>
      <c r="AO281" s="300">
        <f t="shared" si="129"/>
        <v>613058.0100000016</v>
      </c>
      <c r="AP281" s="300">
        <f t="shared" si="129"/>
        <v>0</v>
      </c>
      <c r="AQ281" s="300">
        <f t="shared" si="129"/>
        <v>2443460.3999999985</v>
      </c>
      <c r="AR281" s="300">
        <f t="shared" si="129"/>
        <v>2443460.3999999985</v>
      </c>
      <c r="AS281" s="91"/>
      <c r="AT281" s="281">
        <f>SUM(AT276:AT280)</f>
        <v>0</v>
      </c>
      <c r="AU281" s="281">
        <f>SUM(AU276:AU280)</f>
        <v>0</v>
      </c>
      <c r="AV281" s="281">
        <f>SUM(AV276:AV280)</f>
        <v>13532011.340000004</v>
      </c>
      <c r="AW281" s="281">
        <f>SUM(AW276:AW280)</f>
        <v>35324522.56</v>
      </c>
      <c r="AX281" s="281">
        <f>SUM(AX276:AX280)</f>
        <v>48856533.900000036</v>
      </c>
      <c r="AY281" s="91"/>
      <c r="AZ281" s="144">
        <v>200</v>
      </c>
      <c r="BA281" s="91"/>
      <c r="BB281" s="91"/>
      <c r="BC281" s="91"/>
      <c r="BD281" s="91"/>
      <c r="BE281" s="91"/>
      <c r="BF281" s="91"/>
      <c r="BG281" s="91"/>
      <c r="BH281" s="91"/>
    </row>
    <row r="282" spans="2:60" s="17" customFormat="1" ht="19.5" thickTop="1">
      <c r="B282" s="247"/>
      <c r="C282" s="247"/>
      <c r="D282" s="247"/>
      <c r="E282" s="247"/>
      <c r="F282" s="247"/>
      <c r="G282" s="106"/>
      <c r="H282" s="144"/>
      <c r="I282" s="231"/>
      <c r="J282" s="231"/>
      <c r="K282" s="231"/>
      <c r="L282" s="231"/>
      <c r="M282" s="231"/>
      <c r="N282" s="91"/>
      <c r="O282" s="214"/>
      <c r="P282" s="214"/>
      <c r="Q282" s="214"/>
      <c r="R282" s="214"/>
      <c r="S282" s="214"/>
      <c r="T282" s="91"/>
      <c r="U282" s="197"/>
      <c r="V282" s="197"/>
      <c r="W282" s="197"/>
      <c r="X282" s="197"/>
      <c r="Y282" s="197"/>
      <c r="Z282" s="91"/>
      <c r="AA282" s="179"/>
      <c r="AB282" s="179"/>
      <c r="AC282" s="179"/>
      <c r="AD282" s="179"/>
      <c r="AE282" s="179"/>
      <c r="AF282" s="106"/>
      <c r="AG282" s="161"/>
      <c r="AH282" s="161"/>
      <c r="AI282" s="161"/>
      <c r="AJ282" s="161"/>
      <c r="AK282" s="161"/>
      <c r="AL282" s="91"/>
      <c r="AM282" s="106"/>
      <c r="AN282" s="106"/>
      <c r="AO282" s="106"/>
      <c r="AP282" s="106"/>
      <c r="AQ282" s="106"/>
      <c r="AR282" s="106"/>
      <c r="AS282" s="91"/>
      <c r="AT282" s="277"/>
      <c r="AU282" s="277"/>
      <c r="AV282" s="277"/>
      <c r="AW282" s="277"/>
      <c r="AX282" s="277"/>
      <c r="AY282" s="91"/>
      <c r="AZ282" s="144">
        <v>240</v>
      </c>
      <c r="BA282" s="91"/>
      <c r="BB282" s="91"/>
      <c r="BC282" s="91"/>
      <c r="BD282" s="91"/>
      <c r="BE282" s="91"/>
      <c r="BF282" s="91"/>
      <c r="BG282" s="91"/>
      <c r="BH282" s="91"/>
    </row>
    <row r="283" spans="2:60" s="17" customFormat="1" ht="18.75">
      <c r="B283" s="247"/>
      <c r="C283" s="247"/>
      <c r="D283" s="247"/>
      <c r="E283" s="247"/>
      <c r="F283" s="247"/>
      <c r="G283" s="106"/>
      <c r="H283" s="144"/>
      <c r="I283" s="231"/>
      <c r="J283" s="231"/>
      <c r="K283" s="231"/>
      <c r="L283" s="231"/>
      <c r="M283" s="231"/>
      <c r="N283" s="91"/>
      <c r="O283" s="214"/>
      <c r="P283" s="214"/>
      <c r="Q283" s="214"/>
      <c r="R283" s="214"/>
      <c r="S283" s="214"/>
      <c r="T283" s="91"/>
      <c r="U283" s="197"/>
      <c r="V283" s="197"/>
      <c r="W283" s="197"/>
      <c r="X283" s="197"/>
      <c r="Y283" s="197"/>
      <c r="Z283" s="91"/>
      <c r="AA283" s="179"/>
      <c r="AB283" s="179"/>
      <c r="AC283" s="179"/>
      <c r="AD283" s="179"/>
      <c r="AE283" s="179"/>
      <c r="AF283" s="106"/>
      <c r="AG283" s="161"/>
      <c r="AH283" s="161"/>
      <c r="AI283" s="161"/>
      <c r="AJ283" s="161"/>
      <c r="AK283" s="161"/>
      <c r="AL283" s="91"/>
      <c r="AM283" s="106"/>
      <c r="AN283" s="106"/>
      <c r="AO283" s="106"/>
      <c r="AP283" s="106"/>
      <c r="AQ283" s="106"/>
      <c r="AR283" s="106"/>
      <c r="AS283" s="91"/>
      <c r="AT283" s="277"/>
      <c r="AU283" s="277"/>
      <c r="AV283" s="277"/>
      <c r="AW283" s="277"/>
      <c r="AX283" s="277"/>
      <c r="AY283" s="91"/>
      <c r="AZ283" s="144"/>
      <c r="BA283" s="91"/>
      <c r="BB283" s="91"/>
      <c r="BC283" s="91"/>
      <c r="BD283" s="91"/>
      <c r="BE283" s="91"/>
      <c r="BF283" s="91"/>
      <c r="BG283" s="91"/>
      <c r="BH283" s="91"/>
    </row>
    <row r="284" spans="2:60" s="17" customFormat="1" ht="18.75">
      <c r="B284" s="247"/>
      <c r="C284" s="247"/>
      <c r="D284" s="247"/>
      <c r="E284" s="247"/>
      <c r="F284" s="247"/>
      <c r="G284" s="106"/>
      <c r="H284" s="144"/>
      <c r="I284" s="231"/>
      <c r="J284" s="231"/>
      <c r="K284" s="231"/>
      <c r="L284" s="231"/>
      <c r="M284" s="231"/>
      <c r="N284" s="91"/>
      <c r="O284" s="214"/>
      <c r="P284" s="214"/>
      <c r="Q284" s="214"/>
      <c r="R284" s="214"/>
      <c r="S284" s="214"/>
      <c r="T284" s="91"/>
      <c r="U284" s="197"/>
      <c r="V284" s="197"/>
      <c r="W284" s="197"/>
      <c r="X284" s="197"/>
      <c r="Y284" s="197"/>
      <c r="Z284" s="91"/>
      <c r="AA284" s="179"/>
      <c r="AB284" s="179"/>
      <c r="AC284" s="179"/>
      <c r="AD284" s="179"/>
      <c r="AE284" s="179"/>
      <c r="AF284" s="106"/>
      <c r="AG284" s="161"/>
      <c r="AH284" s="161"/>
      <c r="AI284" s="161"/>
      <c r="AJ284" s="161"/>
      <c r="AK284" s="161"/>
      <c r="AL284" s="91"/>
      <c r="AM284" s="106"/>
      <c r="AN284" s="106"/>
      <c r="AO284" s="106"/>
      <c r="AP284" s="106"/>
      <c r="AQ284" s="106"/>
      <c r="AR284" s="106"/>
      <c r="AS284" s="91"/>
      <c r="AT284" s="277"/>
      <c r="AU284" s="277"/>
      <c r="AV284" s="277"/>
      <c r="AW284" s="277"/>
      <c r="AX284" s="277"/>
      <c r="AY284" s="91"/>
      <c r="AZ284" s="144"/>
      <c r="BA284" s="91"/>
      <c r="BB284" s="91"/>
      <c r="BC284" s="91"/>
      <c r="BD284" s="91"/>
      <c r="BE284" s="91"/>
      <c r="BF284" s="91"/>
      <c r="BG284" s="91"/>
      <c r="BH284" s="91"/>
    </row>
    <row r="285" spans="2:60" s="17" customFormat="1" ht="18.75">
      <c r="B285" s="247"/>
      <c r="C285" s="247"/>
      <c r="D285" s="247"/>
      <c r="E285" s="247"/>
      <c r="F285" s="247"/>
      <c r="G285" s="106"/>
      <c r="H285" s="144"/>
      <c r="I285" s="231"/>
      <c r="J285" s="231"/>
      <c r="K285" s="231"/>
      <c r="L285" s="231"/>
      <c r="M285" s="231"/>
      <c r="N285" s="91"/>
      <c r="O285" s="214"/>
      <c r="P285" s="214"/>
      <c r="Q285" s="214"/>
      <c r="R285" s="214"/>
      <c r="S285" s="214"/>
      <c r="T285" s="91"/>
      <c r="U285" s="197"/>
      <c r="V285" s="197"/>
      <c r="W285" s="197"/>
      <c r="X285" s="197"/>
      <c r="Y285" s="197"/>
      <c r="Z285" s="91"/>
      <c r="AA285" s="179"/>
      <c r="AB285" s="179"/>
      <c r="AC285" s="179"/>
      <c r="AD285" s="179"/>
      <c r="AE285" s="179"/>
      <c r="AF285" s="106"/>
      <c r="AG285" s="161"/>
      <c r="AH285" s="161"/>
      <c r="AI285" s="161"/>
      <c r="AJ285" s="161"/>
      <c r="AK285" s="161"/>
      <c r="AL285" s="91"/>
      <c r="AM285" s="106"/>
      <c r="AN285" s="106"/>
      <c r="AO285" s="106"/>
      <c r="AP285" s="106"/>
      <c r="AQ285" s="106"/>
      <c r="AR285" s="106"/>
      <c r="AS285" s="91"/>
      <c r="AT285" s="277"/>
      <c r="AU285" s="277"/>
      <c r="AV285" s="277"/>
      <c r="AW285" s="277"/>
      <c r="AX285" s="277"/>
      <c r="AY285" s="91"/>
      <c r="AZ285" s="144"/>
      <c r="BA285" s="91"/>
      <c r="BB285" s="91"/>
      <c r="BC285" s="91"/>
      <c r="BD285" s="91"/>
      <c r="BE285" s="91"/>
      <c r="BF285" s="91"/>
      <c r="BG285" s="91"/>
      <c r="BH285" s="91"/>
    </row>
    <row r="286" spans="1:52" ht="18.75">
      <c r="A286" s="51" t="s">
        <v>482</v>
      </c>
      <c r="B286" s="248" t="s">
        <v>56</v>
      </c>
      <c r="C286" s="249" t="s">
        <v>57</v>
      </c>
      <c r="D286" s="248" t="s">
        <v>56</v>
      </c>
      <c r="E286" s="248" t="s">
        <v>57</v>
      </c>
      <c r="F286" s="250"/>
      <c r="G286" s="97"/>
      <c r="I286" s="232" t="s">
        <v>56</v>
      </c>
      <c r="J286" s="232" t="s">
        <v>57</v>
      </c>
      <c r="K286" s="232" t="s">
        <v>56</v>
      </c>
      <c r="L286" s="232" t="s">
        <v>57</v>
      </c>
      <c r="M286" s="232" t="s">
        <v>101</v>
      </c>
      <c r="O286" s="215" t="s">
        <v>56</v>
      </c>
      <c r="P286" s="215" t="s">
        <v>57</v>
      </c>
      <c r="Q286" s="215" t="s">
        <v>56</v>
      </c>
      <c r="R286" s="215" t="s">
        <v>57</v>
      </c>
      <c r="S286" s="215" t="s">
        <v>101</v>
      </c>
      <c r="U286" s="198" t="s">
        <v>56</v>
      </c>
      <c r="V286" s="198" t="s">
        <v>57</v>
      </c>
      <c r="W286" s="198" t="s">
        <v>56</v>
      </c>
      <c r="X286" s="198" t="s">
        <v>57</v>
      </c>
      <c r="Y286" s="198" t="s">
        <v>101</v>
      </c>
      <c r="AA286" s="180" t="s">
        <v>56</v>
      </c>
      <c r="AB286" s="180" t="s">
        <v>57</v>
      </c>
      <c r="AC286" s="180" t="s">
        <v>56</v>
      </c>
      <c r="AD286" s="180" t="s">
        <v>57</v>
      </c>
      <c r="AE286" s="180" t="s">
        <v>101</v>
      </c>
      <c r="AF286" s="97"/>
      <c r="AG286" s="162" t="s">
        <v>56</v>
      </c>
      <c r="AH286" s="162" t="s">
        <v>57</v>
      </c>
      <c r="AI286" s="162" t="s">
        <v>56</v>
      </c>
      <c r="AJ286" s="162" t="s">
        <v>57</v>
      </c>
      <c r="AK286" s="162" t="s">
        <v>101</v>
      </c>
      <c r="AM286" s="18" t="s">
        <v>56</v>
      </c>
      <c r="AN286" s="18" t="s">
        <v>57</v>
      </c>
      <c r="AO286" s="18" t="s">
        <v>101</v>
      </c>
      <c r="AP286" s="18" t="s">
        <v>56</v>
      </c>
      <c r="AQ286" s="18" t="s">
        <v>57</v>
      </c>
      <c r="AR286" s="18" t="s">
        <v>101</v>
      </c>
      <c r="AT286" s="278" t="s">
        <v>56</v>
      </c>
      <c r="AU286" s="278" t="s">
        <v>57</v>
      </c>
      <c r="AV286" s="278" t="s">
        <v>56</v>
      </c>
      <c r="AW286" s="278" t="s">
        <v>57</v>
      </c>
      <c r="AX286" s="278" t="s">
        <v>101</v>
      </c>
      <c r="AZ286" s="137">
        <f>SUM(AZ276:AZ283)</f>
        <v>5920</v>
      </c>
    </row>
    <row r="287" spans="1:52" ht="18.75">
      <c r="A287" s="43" t="s">
        <v>400</v>
      </c>
      <c r="B287" s="251"/>
      <c r="C287" s="252"/>
      <c r="D287" s="251"/>
      <c r="E287" s="251">
        <v>375000</v>
      </c>
      <c r="F287" s="250">
        <f>SUM(B287:C287)</f>
        <v>0</v>
      </c>
      <c r="G287" s="97"/>
      <c r="I287" s="233"/>
      <c r="J287" s="233"/>
      <c r="K287" s="233"/>
      <c r="L287" s="233">
        <v>50526</v>
      </c>
      <c r="M287" s="233">
        <f>SUM(K287:L287)</f>
        <v>50526</v>
      </c>
      <c r="O287" s="216"/>
      <c r="P287" s="216"/>
      <c r="Q287" s="216"/>
      <c r="R287" s="216"/>
      <c r="S287" s="216">
        <f>SUM(Q287:R287)</f>
        <v>0</v>
      </c>
      <c r="U287" s="199"/>
      <c r="V287" s="199"/>
      <c r="W287" s="199"/>
      <c r="X287" s="199"/>
      <c r="Y287" s="199">
        <f>SUM(W287:X287)</f>
        <v>0</v>
      </c>
      <c r="AA287" s="181"/>
      <c r="AB287" s="181"/>
      <c r="AC287" s="181"/>
      <c r="AD287" s="181">
        <v>270995</v>
      </c>
      <c r="AE287" s="181">
        <f>SUM(AC287:AD287)</f>
        <v>270995</v>
      </c>
      <c r="AG287" s="163"/>
      <c r="AH287" s="163"/>
      <c r="AI287" s="163"/>
      <c r="AJ287" s="163"/>
      <c r="AK287" s="163">
        <f>SUM(AI287:AJ287)</f>
        <v>0</v>
      </c>
      <c r="AM287" s="107">
        <v>0</v>
      </c>
      <c r="AN287" s="107">
        <v>0</v>
      </c>
      <c r="AO287" s="18">
        <f>SUM(AM287:AN287)</f>
        <v>0</v>
      </c>
      <c r="AP287" s="107">
        <v>0</v>
      </c>
      <c r="AQ287" s="107">
        <v>0</v>
      </c>
      <c r="AR287" s="107">
        <f>SUM(AP287:AQ287)</f>
        <v>0</v>
      </c>
      <c r="AT287" s="279"/>
      <c r="AU287" s="279"/>
      <c r="AV287" s="279">
        <f aca="true" t="shared" si="130" ref="AV287:AW290">+B287+K287+Q287+W287+AC287+AI287+AP287</f>
        <v>0</v>
      </c>
      <c r="AW287" s="279">
        <f t="shared" si="130"/>
        <v>321521</v>
      </c>
      <c r="AX287" s="279">
        <f>SUM(AV287:AW287)</f>
        <v>321521</v>
      </c>
      <c r="AY287" s="50">
        <v>696521</v>
      </c>
      <c r="AZ287" s="137">
        <f>+AW287-AY287</f>
        <v>-375000</v>
      </c>
    </row>
    <row r="288" spans="1:50" ht="18.75">
      <c r="A288" s="43" t="s">
        <v>412</v>
      </c>
      <c r="B288" s="251"/>
      <c r="C288" s="252"/>
      <c r="D288" s="251"/>
      <c r="E288" s="251"/>
      <c r="F288" s="250"/>
      <c r="G288" s="97"/>
      <c r="I288" s="233"/>
      <c r="J288" s="233"/>
      <c r="K288" s="233"/>
      <c r="L288" s="233">
        <v>-0.25</v>
      </c>
      <c r="M288" s="233"/>
      <c r="O288" s="216"/>
      <c r="P288" s="216"/>
      <c r="Q288" s="216"/>
      <c r="R288" s="216"/>
      <c r="S288" s="216"/>
      <c r="U288" s="199"/>
      <c r="V288" s="199"/>
      <c r="W288" s="199"/>
      <c r="X288" s="199"/>
      <c r="Y288" s="199"/>
      <c r="AA288" s="181"/>
      <c r="AB288" s="181"/>
      <c r="AC288" s="181"/>
      <c r="AD288" s="181"/>
      <c r="AE288" s="181"/>
      <c r="AG288" s="163"/>
      <c r="AH288" s="163"/>
      <c r="AI288" s="163"/>
      <c r="AJ288" s="163"/>
      <c r="AK288" s="163"/>
      <c r="AM288" s="107">
        <v>0</v>
      </c>
      <c r="AN288" s="107">
        <v>0</v>
      </c>
      <c r="AO288" s="18">
        <f>SUM(AM288:AN288)</f>
        <v>0</v>
      </c>
      <c r="AP288" s="107">
        <v>0</v>
      </c>
      <c r="AQ288" s="107">
        <v>0</v>
      </c>
      <c r="AR288" s="107">
        <f>SUM(AP288:AQ288)</f>
        <v>0</v>
      </c>
      <c r="AT288" s="279"/>
      <c r="AU288" s="279"/>
      <c r="AV288" s="279">
        <f t="shared" si="130"/>
        <v>0</v>
      </c>
      <c r="AW288" s="279">
        <f t="shared" si="130"/>
        <v>-0.25</v>
      </c>
      <c r="AX288" s="279">
        <f>SUM(AV288:AW288)</f>
        <v>-0.25</v>
      </c>
    </row>
    <row r="289" spans="1:52" ht="18.75">
      <c r="A289" s="43" t="s">
        <v>408</v>
      </c>
      <c r="B289" s="251">
        <v>0</v>
      </c>
      <c r="C289" s="252"/>
      <c r="D289" s="251">
        <v>0</v>
      </c>
      <c r="E289" s="251"/>
      <c r="F289" s="250">
        <f>SUM(B289:C289)</f>
        <v>0</v>
      </c>
      <c r="G289" s="97"/>
      <c r="I289" s="233"/>
      <c r="J289" s="233"/>
      <c r="K289" s="233"/>
      <c r="L289" s="233">
        <v>-20509.45</v>
      </c>
      <c r="M289" s="233">
        <f>SUM(K289:L289)</f>
        <v>-20509.45</v>
      </c>
      <c r="O289" s="216"/>
      <c r="P289" s="216"/>
      <c r="Q289" s="216"/>
      <c r="R289" s="216"/>
      <c r="S289" s="216">
        <f>SUM(Q289:R289)</f>
        <v>0</v>
      </c>
      <c r="U289" s="199"/>
      <c r="V289" s="199"/>
      <c r="W289" s="199">
        <v>-4629.3</v>
      </c>
      <c r="X289" s="199"/>
      <c r="Y289" s="199">
        <f>SUM(W289:X289)</f>
        <v>-4629.3</v>
      </c>
      <c r="AA289" s="181"/>
      <c r="AB289" s="181"/>
      <c r="AC289" s="181">
        <v>-4808.95</v>
      </c>
      <c r="AD289" s="181">
        <v>-19485.22</v>
      </c>
      <c r="AE289" s="181">
        <f>SUM(AC289:AD289)</f>
        <v>-24294.170000000002</v>
      </c>
      <c r="AG289" s="163"/>
      <c r="AH289" s="163"/>
      <c r="AI289" s="163"/>
      <c r="AJ289" s="163"/>
      <c r="AK289" s="163">
        <f>SUM(AI289:AJ289)</f>
        <v>0</v>
      </c>
      <c r="AM289" s="107">
        <v>0</v>
      </c>
      <c r="AN289" s="107">
        <v>0</v>
      </c>
      <c r="AO289" s="18">
        <f>SUM(AM289:AN289)</f>
        <v>0</v>
      </c>
      <c r="AP289" s="107">
        <v>0</v>
      </c>
      <c r="AQ289" s="107">
        <v>0</v>
      </c>
      <c r="AR289" s="107">
        <f>SUM(AP289:AQ289)</f>
        <v>0</v>
      </c>
      <c r="AT289" s="279"/>
      <c r="AU289" s="279"/>
      <c r="AV289" s="279">
        <f t="shared" si="130"/>
        <v>-9438.25</v>
      </c>
      <c r="AW289" s="279">
        <f t="shared" si="130"/>
        <v>-39994.67</v>
      </c>
      <c r="AX289" s="279">
        <f>SUM(AV289:AW289)</f>
        <v>-49432.92</v>
      </c>
      <c r="AY289" s="50">
        <v>49432.92</v>
      </c>
      <c r="AZ289" s="137">
        <f>+AX289-AY289</f>
        <v>-98865.84</v>
      </c>
    </row>
    <row r="290" spans="1:50" ht="18.75">
      <c r="A290" s="43" t="s">
        <v>409</v>
      </c>
      <c r="B290" s="258"/>
      <c r="C290" s="259"/>
      <c r="D290" s="258"/>
      <c r="E290" s="258"/>
      <c r="F290" s="250"/>
      <c r="G290" s="97"/>
      <c r="I290" s="237"/>
      <c r="J290" s="237"/>
      <c r="K290" s="237"/>
      <c r="L290" s="237"/>
      <c r="M290" s="237"/>
      <c r="O290" s="219"/>
      <c r="P290" s="219"/>
      <c r="Q290" s="219"/>
      <c r="R290" s="219"/>
      <c r="S290" s="219"/>
      <c r="U290" s="202"/>
      <c r="V290" s="202"/>
      <c r="W290" s="202">
        <v>-30597.92</v>
      </c>
      <c r="X290" s="202"/>
      <c r="Y290" s="199">
        <f>SUM(W290:X290)</f>
        <v>-30597.92</v>
      </c>
      <c r="AA290" s="184"/>
      <c r="AB290" s="184"/>
      <c r="AC290" s="184"/>
      <c r="AD290" s="184"/>
      <c r="AE290" s="184"/>
      <c r="AG290" s="166"/>
      <c r="AH290" s="166"/>
      <c r="AI290" s="166"/>
      <c r="AJ290" s="166"/>
      <c r="AK290" s="166"/>
      <c r="AM290" s="299">
        <v>0</v>
      </c>
      <c r="AN290" s="299">
        <v>0</v>
      </c>
      <c r="AO290" s="18">
        <f>SUM(AM290:AN290)</f>
        <v>0</v>
      </c>
      <c r="AP290" s="299">
        <v>0</v>
      </c>
      <c r="AQ290" s="299">
        <v>0</v>
      </c>
      <c r="AR290" s="107">
        <f>SUM(AP290:AQ290)</f>
        <v>0</v>
      </c>
      <c r="AT290" s="279"/>
      <c r="AU290" s="279"/>
      <c r="AV290" s="279">
        <f t="shared" si="130"/>
        <v>-30597.92</v>
      </c>
      <c r="AW290" s="279">
        <f t="shared" si="130"/>
        <v>0</v>
      </c>
      <c r="AX290" s="279">
        <f>SUM(AV290:AW290)</f>
        <v>-30597.92</v>
      </c>
    </row>
    <row r="291" spans="1:60" s="17" customFormat="1" ht="19.5" thickBot="1">
      <c r="A291" s="17" t="s">
        <v>317</v>
      </c>
      <c r="B291" s="255">
        <f>SUM(B287:B290)</f>
        <v>0</v>
      </c>
      <c r="C291" s="256">
        <f>SUM(C287:C290)</f>
        <v>0</v>
      </c>
      <c r="D291" s="255">
        <f>SUM(D287:D290)</f>
        <v>0</v>
      </c>
      <c r="E291" s="255">
        <f>SUM(E287:E290)</f>
        <v>375000</v>
      </c>
      <c r="F291" s="257">
        <f>SUM(F287:F290)</f>
        <v>0</v>
      </c>
      <c r="G291" s="106"/>
      <c r="H291" s="144"/>
      <c r="I291" s="236">
        <f>SUM(I287:I290)</f>
        <v>0</v>
      </c>
      <c r="J291" s="236">
        <f>SUM(J287:J290)</f>
        <v>0</v>
      </c>
      <c r="K291" s="236">
        <f>SUM(K287:K290)</f>
        <v>0</v>
      </c>
      <c r="L291" s="236">
        <f>SUM(L287:L290)</f>
        <v>30016.3</v>
      </c>
      <c r="M291" s="236">
        <f>SUM(M287:M290)</f>
        <v>30016.55</v>
      </c>
      <c r="N291" s="91"/>
      <c r="O291" s="218">
        <f>SUM(O287:O290)</f>
        <v>0</v>
      </c>
      <c r="P291" s="218">
        <f>SUM(P287:P290)</f>
        <v>0</v>
      </c>
      <c r="Q291" s="218">
        <f>SUM(Q287:Q290)</f>
        <v>0</v>
      </c>
      <c r="R291" s="218">
        <f>SUM(R287:R290)</f>
        <v>0</v>
      </c>
      <c r="S291" s="218">
        <f>SUM(S287:S290)</f>
        <v>0</v>
      </c>
      <c r="T291" s="91"/>
      <c r="U291" s="201">
        <f>SUM(U287:U290)</f>
        <v>0</v>
      </c>
      <c r="V291" s="201">
        <f>SUM(V287:V290)</f>
        <v>0</v>
      </c>
      <c r="W291" s="201">
        <f>SUM(W287:W290)</f>
        <v>-35227.22</v>
      </c>
      <c r="X291" s="201">
        <f>SUM(X287:X290)</f>
        <v>0</v>
      </c>
      <c r="Y291" s="201">
        <f>SUM(Y287:Y290)</f>
        <v>-35227.22</v>
      </c>
      <c r="Z291" s="91"/>
      <c r="AA291" s="183">
        <f>SUM(AA287:AA290)</f>
        <v>0</v>
      </c>
      <c r="AB291" s="183">
        <f>SUM(AB287:AB290)</f>
        <v>0</v>
      </c>
      <c r="AC291" s="183">
        <f>SUM(AC287:AC290)</f>
        <v>-4808.95</v>
      </c>
      <c r="AD291" s="183">
        <f>SUM(AD287:AD290)</f>
        <v>251509.78</v>
      </c>
      <c r="AE291" s="183">
        <f>SUM(AE287:AE290)</f>
        <v>246700.83</v>
      </c>
      <c r="AF291" s="106"/>
      <c r="AG291" s="165">
        <f>SUM(AG287:AG290)</f>
        <v>0</v>
      </c>
      <c r="AH291" s="165">
        <f>SUM(AH287:AH290)</f>
        <v>0</v>
      </c>
      <c r="AI291" s="165">
        <f>SUM(AI287:AI290)</f>
        <v>0</v>
      </c>
      <c r="AJ291" s="165">
        <f>SUM(AJ287:AJ290)</f>
        <v>0</v>
      </c>
      <c r="AK291" s="165">
        <f>SUM(AK287:AK290)</f>
        <v>0</v>
      </c>
      <c r="AL291" s="91"/>
      <c r="AM291" s="300">
        <f aca="true" t="shared" si="131" ref="AM291:AR291">SUM(AM287:AM290)</f>
        <v>0</v>
      </c>
      <c r="AN291" s="300">
        <f t="shared" si="131"/>
        <v>0</v>
      </c>
      <c r="AO291" s="300">
        <f t="shared" si="131"/>
        <v>0</v>
      </c>
      <c r="AP291" s="300">
        <f t="shared" si="131"/>
        <v>0</v>
      </c>
      <c r="AQ291" s="300">
        <f t="shared" si="131"/>
        <v>0</v>
      </c>
      <c r="AR291" s="300">
        <f t="shared" si="131"/>
        <v>0</v>
      </c>
      <c r="AS291" s="91"/>
      <c r="AT291" s="281">
        <f>SUM(AT287:AT290)</f>
        <v>0</v>
      </c>
      <c r="AU291" s="281">
        <f>SUM(AU287:AU290)</f>
        <v>0</v>
      </c>
      <c r="AV291" s="281">
        <f>SUM(AV287:AV290)</f>
        <v>-40036.17</v>
      </c>
      <c r="AW291" s="281">
        <f>SUM(AW287:AW290)</f>
        <v>281526.08</v>
      </c>
      <c r="AX291" s="281">
        <f>SUM(AX287:AX290)</f>
        <v>241489.91000000003</v>
      </c>
      <c r="AY291" s="91"/>
      <c r="AZ291" s="144"/>
      <c r="BA291" s="91"/>
      <c r="BB291" s="91"/>
      <c r="BC291" s="91"/>
      <c r="BD291" s="91"/>
      <c r="BE291" s="91"/>
      <c r="BF291" s="91"/>
      <c r="BG291" s="91"/>
      <c r="BH291" s="91"/>
    </row>
    <row r="292" spans="2:60" s="17" customFormat="1" ht="19.5" thickTop="1">
      <c r="B292" s="247"/>
      <c r="C292" s="247"/>
      <c r="D292" s="247"/>
      <c r="E292" s="247"/>
      <c r="F292" s="247"/>
      <c r="G292" s="106"/>
      <c r="H292" s="144"/>
      <c r="I292" s="231"/>
      <c r="J292" s="231"/>
      <c r="K292" s="231"/>
      <c r="L292" s="231"/>
      <c r="M292" s="231"/>
      <c r="N292" s="91"/>
      <c r="O292" s="214"/>
      <c r="P292" s="214"/>
      <c r="Q292" s="214"/>
      <c r="R292" s="214"/>
      <c r="S292" s="214"/>
      <c r="T292" s="91"/>
      <c r="U292" s="197"/>
      <c r="V292" s="197"/>
      <c r="W292" s="197"/>
      <c r="X292" s="197"/>
      <c r="Y292" s="197"/>
      <c r="Z292" s="91"/>
      <c r="AA292" s="179"/>
      <c r="AB292" s="179"/>
      <c r="AC292" s="179"/>
      <c r="AD292" s="179"/>
      <c r="AE292" s="179"/>
      <c r="AF292" s="106"/>
      <c r="AG292" s="161"/>
      <c r="AH292" s="161"/>
      <c r="AI292" s="161"/>
      <c r="AJ292" s="161"/>
      <c r="AK292" s="161"/>
      <c r="AL292" s="91"/>
      <c r="AM292" s="106"/>
      <c r="AN292" s="106"/>
      <c r="AO292" s="106"/>
      <c r="AP292" s="106"/>
      <c r="AQ292" s="106"/>
      <c r="AR292" s="106"/>
      <c r="AS292" s="91"/>
      <c r="AT292" s="277"/>
      <c r="AU292" s="277"/>
      <c r="AV292" s="277"/>
      <c r="AW292" s="277"/>
      <c r="AX292" s="277"/>
      <c r="AY292" s="91"/>
      <c r="AZ292" s="144"/>
      <c r="BA292" s="91"/>
      <c r="BB292" s="91"/>
      <c r="BC292" s="91"/>
      <c r="BD292" s="91"/>
      <c r="BE292" s="91"/>
      <c r="BF292" s="91"/>
      <c r="BG292" s="91"/>
      <c r="BH292" s="91"/>
    </row>
    <row r="293" spans="1:50" ht="18.75">
      <c r="A293" s="51" t="s">
        <v>483</v>
      </c>
      <c r="B293" s="248" t="s">
        <v>56</v>
      </c>
      <c r="C293" s="249" t="s">
        <v>57</v>
      </c>
      <c r="D293" s="248" t="s">
        <v>56</v>
      </c>
      <c r="E293" s="248" t="s">
        <v>57</v>
      </c>
      <c r="F293" s="250"/>
      <c r="G293" s="97"/>
      <c r="I293" s="232" t="s">
        <v>56</v>
      </c>
      <c r="J293" s="232" t="s">
        <v>57</v>
      </c>
      <c r="K293" s="232" t="s">
        <v>56</v>
      </c>
      <c r="L293" s="232" t="s">
        <v>57</v>
      </c>
      <c r="M293" s="232" t="s">
        <v>101</v>
      </c>
      <c r="O293" s="215" t="s">
        <v>56</v>
      </c>
      <c r="P293" s="215" t="s">
        <v>57</v>
      </c>
      <c r="Q293" s="215" t="s">
        <v>56</v>
      </c>
      <c r="R293" s="215" t="s">
        <v>57</v>
      </c>
      <c r="S293" s="215" t="s">
        <v>101</v>
      </c>
      <c r="U293" s="198" t="s">
        <v>56</v>
      </c>
      <c r="V293" s="198" t="s">
        <v>57</v>
      </c>
      <c r="W293" s="198" t="s">
        <v>56</v>
      </c>
      <c r="X293" s="198" t="s">
        <v>57</v>
      </c>
      <c r="Y293" s="198" t="s">
        <v>101</v>
      </c>
      <c r="AA293" s="180" t="s">
        <v>56</v>
      </c>
      <c r="AB293" s="180" t="s">
        <v>57</v>
      </c>
      <c r="AC293" s="180" t="s">
        <v>56</v>
      </c>
      <c r="AD293" s="180" t="s">
        <v>57</v>
      </c>
      <c r="AE293" s="180" t="s">
        <v>101</v>
      </c>
      <c r="AF293" s="97"/>
      <c r="AG293" s="162" t="s">
        <v>56</v>
      </c>
      <c r="AH293" s="162" t="s">
        <v>57</v>
      </c>
      <c r="AI293" s="162" t="s">
        <v>56</v>
      </c>
      <c r="AJ293" s="162" t="s">
        <v>57</v>
      </c>
      <c r="AK293" s="162" t="s">
        <v>101</v>
      </c>
      <c r="AM293" s="18" t="s">
        <v>56</v>
      </c>
      <c r="AN293" s="18" t="s">
        <v>57</v>
      </c>
      <c r="AO293" s="18" t="s">
        <v>101</v>
      </c>
      <c r="AP293" s="18" t="s">
        <v>56</v>
      </c>
      <c r="AQ293" s="18" t="s">
        <v>57</v>
      </c>
      <c r="AR293" s="18" t="s">
        <v>101</v>
      </c>
      <c r="AT293" s="278" t="s">
        <v>56</v>
      </c>
      <c r="AU293" s="278" t="s">
        <v>57</v>
      </c>
      <c r="AV293" s="278" t="s">
        <v>56</v>
      </c>
      <c r="AW293" s="278" t="s">
        <v>57</v>
      </c>
      <c r="AX293" s="278" t="s">
        <v>101</v>
      </c>
    </row>
    <row r="294" spans="1:52" ht="18.75">
      <c r="A294" s="43" t="s">
        <v>437</v>
      </c>
      <c r="B294" s="251"/>
      <c r="C294" s="264"/>
      <c r="D294" s="251"/>
      <c r="E294" s="288"/>
      <c r="F294" s="247">
        <f>SUM(B294:C294)</f>
        <v>0</v>
      </c>
      <c r="I294" s="233"/>
      <c r="J294" s="233"/>
      <c r="K294" s="233">
        <v>102974</v>
      </c>
      <c r="L294" s="233">
        <v>0</v>
      </c>
      <c r="M294" s="233">
        <f>SUM(K294:L294)</f>
        <v>102974</v>
      </c>
      <c r="O294" s="216"/>
      <c r="P294" s="229"/>
      <c r="Q294" s="216">
        <v>0</v>
      </c>
      <c r="R294" s="229"/>
      <c r="S294" s="216">
        <f>SUM(Q294:R294)</f>
        <v>0</v>
      </c>
      <c r="U294" s="199"/>
      <c r="V294" s="212"/>
      <c r="W294" s="199">
        <v>50256</v>
      </c>
      <c r="X294" s="212"/>
      <c r="Y294" s="199">
        <f>SUM(W294:X294)</f>
        <v>50256</v>
      </c>
      <c r="AA294" s="181"/>
      <c r="AB294" s="195"/>
      <c r="AC294" s="181">
        <v>195404</v>
      </c>
      <c r="AD294" s="195"/>
      <c r="AE294" s="181">
        <f>SUM(AC294:AD294)</f>
        <v>195404</v>
      </c>
      <c r="AG294" s="163"/>
      <c r="AH294" s="177"/>
      <c r="AI294" s="163">
        <v>31500</v>
      </c>
      <c r="AJ294" s="177"/>
      <c r="AK294" s="163">
        <f>SUM(AI294:AJ294)</f>
        <v>31500</v>
      </c>
      <c r="AM294" s="107">
        <v>0</v>
      </c>
      <c r="AN294" s="94">
        <v>0</v>
      </c>
      <c r="AO294" s="18">
        <f aca="true" t="shared" si="132" ref="AO294:AO300">SUM(AM294:AN294)</f>
        <v>0</v>
      </c>
      <c r="AP294" s="107">
        <v>31500</v>
      </c>
      <c r="AQ294" s="94">
        <v>0</v>
      </c>
      <c r="AR294" s="107">
        <f aca="true" t="shared" si="133" ref="AR294:AR300">SUM(AP294:AQ294)</f>
        <v>31500</v>
      </c>
      <c r="AT294" s="279"/>
      <c r="AU294" s="279"/>
      <c r="AV294" s="279">
        <f aca="true" t="shared" si="134" ref="AV294:AW296">+B294+K294+Q294+W294+AC294+AI294+AP294</f>
        <v>411634</v>
      </c>
      <c r="AW294" s="279">
        <f t="shared" si="134"/>
        <v>0</v>
      </c>
      <c r="AX294" s="279">
        <f aca="true" t="shared" si="135" ref="AX294:AX301">SUM(AV294:AW294)</f>
        <v>411634</v>
      </c>
      <c r="AY294" s="50">
        <v>380134</v>
      </c>
      <c r="AZ294" s="137">
        <f>+AX294-AY294</f>
        <v>31500</v>
      </c>
    </row>
    <row r="295" spans="1:52" ht="18.75">
      <c r="A295" s="43" t="s">
        <v>436</v>
      </c>
      <c r="B295" s="251"/>
      <c r="C295" s="264"/>
      <c r="D295" s="251">
        <v>472848.78</v>
      </c>
      <c r="E295" s="288"/>
      <c r="F295" s="247">
        <f>SUM(B295:C295)</f>
        <v>0</v>
      </c>
      <c r="I295" s="233"/>
      <c r="J295" s="233"/>
      <c r="K295" s="233">
        <v>1719.97</v>
      </c>
      <c r="L295" s="233">
        <v>0</v>
      </c>
      <c r="M295" s="233">
        <f>SUM(K295:L295)</f>
        <v>1719.97</v>
      </c>
      <c r="O295" s="216"/>
      <c r="P295" s="229"/>
      <c r="Q295" s="216">
        <v>0</v>
      </c>
      <c r="R295" s="229"/>
      <c r="S295" s="216">
        <f>SUM(Q295:R295)</f>
        <v>0</v>
      </c>
      <c r="U295" s="199"/>
      <c r="V295" s="212"/>
      <c r="W295" s="199">
        <v>8638.42</v>
      </c>
      <c r="X295" s="212"/>
      <c r="Y295" s="199">
        <f>SUM(W295:X295)</f>
        <v>8638.42</v>
      </c>
      <c r="AA295" s="181"/>
      <c r="AB295" s="195"/>
      <c r="AC295" s="181">
        <v>2554.9</v>
      </c>
      <c r="AD295" s="195"/>
      <c r="AE295" s="181">
        <f>SUM(AC295:AD295)</f>
        <v>2554.9</v>
      </c>
      <c r="AG295" s="163"/>
      <c r="AH295" s="177"/>
      <c r="AI295" s="163">
        <v>9720.309999999998</v>
      </c>
      <c r="AJ295" s="177"/>
      <c r="AK295" s="163">
        <f>SUM(AI295:AJ295)</f>
        <v>9720.309999999998</v>
      </c>
      <c r="AM295" s="107">
        <v>1235.97</v>
      </c>
      <c r="AN295" s="94">
        <v>0</v>
      </c>
      <c r="AO295" s="18">
        <f t="shared" si="132"/>
        <v>1235.97</v>
      </c>
      <c r="AP295" s="107">
        <v>1410.41</v>
      </c>
      <c r="AQ295" s="94">
        <v>0</v>
      </c>
      <c r="AR295" s="107">
        <f t="shared" si="133"/>
        <v>1410.41</v>
      </c>
      <c r="AT295" s="279"/>
      <c r="AU295" s="279"/>
      <c r="AV295" s="279">
        <f t="shared" si="134"/>
        <v>24044.01</v>
      </c>
      <c r="AW295" s="279">
        <f t="shared" si="134"/>
        <v>0</v>
      </c>
      <c r="AX295" s="279">
        <f t="shared" si="135"/>
        <v>24044.01</v>
      </c>
      <c r="AY295" s="50">
        <v>495482.38</v>
      </c>
      <c r="AZ295" s="137">
        <f>+AX295-AY295</f>
        <v>-471438.37</v>
      </c>
    </row>
    <row r="296" spans="1:52" ht="18.75">
      <c r="A296" s="43" t="s">
        <v>435</v>
      </c>
      <c r="B296" s="251"/>
      <c r="C296" s="264"/>
      <c r="D296" s="251"/>
      <c r="E296" s="288"/>
      <c r="I296" s="237"/>
      <c r="J296" s="237"/>
      <c r="K296" s="237"/>
      <c r="L296" s="237"/>
      <c r="M296" s="237"/>
      <c r="O296" s="219"/>
      <c r="P296" s="230"/>
      <c r="Q296" s="219"/>
      <c r="R296" s="230"/>
      <c r="S296" s="219"/>
      <c r="U296" s="202"/>
      <c r="V296" s="213"/>
      <c r="W296" s="202">
        <v>9600</v>
      </c>
      <c r="X296" s="213"/>
      <c r="Y296" s="199">
        <f>SUM(W296:X296)</f>
        <v>9600</v>
      </c>
      <c r="AA296" s="184"/>
      <c r="AB296" s="196"/>
      <c r="AC296" s="184"/>
      <c r="AD296" s="196"/>
      <c r="AE296" s="184"/>
      <c r="AG296" s="166"/>
      <c r="AH296" s="178"/>
      <c r="AI296" s="166"/>
      <c r="AJ296" s="178"/>
      <c r="AK296" s="166"/>
      <c r="AM296" s="299">
        <v>0</v>
      </c>
      <c r="AN296" s="310">
        <v>0</v>
      </c>
      <c r="AO296" s="18">
        <f t="shared" si="132"/>
        <v>0</v>
      </c>
      <c r="AP296" s="299">
        <v>0</v>
      </c>
      <c r="AQ296" s="310">
        <v>0</v>
      </c>
      <c r="AR296" s="107">
        <f t="shared" si="133"/>
        <v>0</v>
      </c>
      <c r="AT296" s="279"/>
      <c r="AU296" s="279"/>
      <c r="AV296" s="279">
        <f t="shared" si="134"/>
        <v>9600</v>
      </c>
      <c r="AW296" s="279">
        <f t="shared" si="134"/>
        <v>0</v>
      </c>
      <c r="AX296" s="279">
        <f t="shared" si="135"/>
        <v>9600</v>
      </c>
      <c r="AY296" s="50">
        <v>9600</v>
      </c>
      <c r="AZ296" s="137">
        <f>+AX296-AY296</f>
        <v>0</v>
      </c>
    </row>
    <row r="297" spans="1:50" ht="18.75">
      <c r="A297" s="43" t="s">
        <v>434</v>
      </c>
      <c r="B297" s="251"/>
      <c r="C297" s="264"/>
      <c r="D297" s="251"/>
      <c r="E297" s="288"/>
      <c r="I297" s="237"/>
      <c r="J297" s="237"/>
      <c r="K297" s="237"/>
      <c r="L297" s="237"/>
      <c r="M297" s="237"/>
      <c r="O297" s="219"/>
      <c r="P297" s="230"/>
      <c r="Q297" s="219"/>
      <c r="R297" s="230"/>
      <c r="S297" s="219"/>
      <c r="U297" s="202"/>
      <c r="V297" s="213"/>
      <c r="W297" s="202"/>
      <c r="X297" s="213"/>
      <c r="Y297" s="199"/>
      <c r="AA297" s="184"/>
      <c r="AB297" s="196"/>
      <c r="AC297" s="184"/>
      <c r="AD297" s="196"/>
      <c r="AE297" s="184"/>
      <c r="AG297" s="166"/>
      <c r="AH297" s="178"/>
      <c r="AI297" s="166"/>
      <c r="AJ297" s="178"/>
      <c r="AK297" s="166"/>
      <c r="AM297" s="299">
        <v>0</v>
      </c>
      <c r="AN297" s="310">
        <v>0</v>
      </c>
      <c r="AO297" s="18">
        <f t="shared" si="132"/>
        <v>0</v>
      </c>
      <c r="AP297" s="299">
        <v>0</v>
      </c>
      <c r="AQ297" s="310">
        <v>0</v>
      </c>
      <c r="AR297" s="107">
        <f t="shared" si="133"/>
        <v>0</v>
      </c>
      <c r="AT297" s="279"/>
      <c r="AU297" s="279"/>
      <c r="AV297" s="279">
        <v>0</v>
      </c>
      <c r="AW297" s="279">
        <v>0</v>
      </c>
      <c r="AX297" s="279">
        <f t="shared" si="135"/>
        <v>0</v>
      </c>
    </row>
    <row r="298" spans="1:52" ht="18.75">
      <c r="A298" s="43" t="s">
        <v>438</v>
      </c>
      <c r="B298" s="251"/>
      <c r="C298" s="264"/>
      <c r="D298" s="251">
        <v>172596707.01</v>
      </c>
      <c r="E298" s="288"/>
      <c r="F298" s="247">
        <f>SUM(B298:C298)</f>
        <v>0</v>
      </c>
      <c r="I298" s="233"/>
      <c r="J298" s="233"/>
      <c r="K298" s="233">
        <f>190366-50820.31</f>
        <v>139545.69</v>
      </c>
      <c r="L298" s="233">
        <v>0</v>
      </c>
      <c r="M298" s="233">
        <f>SUM(K298:L298)</f>
        <v>139545.69</v>
      </c>
      <c r="O298" s="216"/>
      <c r="P298" s="229"/>
      <c r="Q298" s="216">
        <v>96050</v>
      </c>
      <c r="R298" s="229"/>
      <c r="S298" s="216">
        <f>SUM(Q298:R298)</f>
        <v>96050</v>
      </c>
      <c r="U298" s="199"/>
      <c r="V298" s="212"/>
      <c r="W298" s="199">
        <v>2700</v>
      </c>
      <c r="X298" s="212"/>
      <c r="Y298" s="199">
        <f>SUM(W298:X298)</f>
        <v>2700</v>
      </c>
      <c r="AA298" s="181"/>
      <c r="AB298" s="195"/>
      <c r="AC298" s="181">
        <v>24350</v>
      </c>
      <c r="AD298" s="195"/>
      <c r="AE298" s="181">
        <f>SUM(AC298:AD298)</f>
        <v>24350</v>
      </c>
      <c r="AG298" s="163"/>
      <c r="AH298" s="177"/>
      <c r="AI298" s="163">
        <v>397442.6400000155</v>
      </c>
      <c r="AJ298" s="177"/>
      <c r="AK298" s="163">
        <f>SUM(AI298:AJ298)</f>
        <v>397442.6400000155</v>
      </c>
      <c r="AM298" s="107">
        <v>370</v>
      </c>
      <c r="AN298" s="94">
        <v>0</v>
      </c>
      <c r="AO298" s="18">
        <f t="shared" si="132"/>
        <v>370</v>
      </c>
      <c r="AP298" s="107">
        <v>310451.19</v>
      </c>
      <c r="AQ298" s="94">
        <v>0</v>
      </c>
      <c r="AR298" s="107">
        <f t="shared" si="133"/>
        <v>310451.19</v>
      </c>
      <c r="AT298" s="279"/>
      <c r="AU298" s="279"/>
      <c r="AV298" s="279">
        <f>+B298+K298+Q298+W298+AC298+AI298+AP298</f>
        <v>970539.5200000154</v>
      </c>
      <c r="AW298" s="279">
        <f>+C298+L298+R298+X298+AD298+AJ298+AQ298</f>
        <v>0</v>
      </c>
      <c r="AX298" s="279">
        <f t="shared" si="135"/>
        <v>970539.5200000154</v>
      </c>
      <c r="AY298" s="50">
        <v>173256795.34</v>
      </c>
      <c r="AZ298" s="137">
        <f>+AX298-AY298</f>
        <v>-172286255.82</v>
      </c>
    </row>
    <row r="299" spans="1:60" s="17" customFormat="1" ht="18.75">
      <c r="A299" s="17" t="s">
        <v>439</v>
      </c>
      <c r="B299" s="267"/>
      <c r="C299" s="268"/>
      <c r="D299" s="267">
        <f>SUM(D294:D298)</f>
        <v>173069555.79</v>
      </c>
      <c r="E299" s="267"/>
      <c r="F299" s="247">
        <f>SUM(B299:C299)</f>
        <v>0</v>
      </c>
      <c r="G299" s="106"/>
      <c r="H299" s="144"/>
      <c r="I299" s="234"/>
      <c r="J299" s="234"/>
      <c r="K299" s="234">
        <f>SUM(K294:K298)</f>
        <v>244239.66</v>
      </c>
      <c r="L299" s="234">
        <f>SUM(L294:L298)</f>
        <v>0</v>
      </c>
      <c r="M299" s="234">
        <f>SUM(K299:L299)</f>
        <v>244239.66</v>
      </c>
      <c r="N299" s="91"/>
      <c r="O299" s="224"/>
      <c r="P299" s="224"/>
      <c r="Q299" s="224">
        <f>SUM(Q294:Q298)</f>
        <v>96050</v>
      </c>
      <c r="R299" s="224">
        <f>SUM(R294:R298)</f>
        <v>0</v>
      </c>
      <c r="S299" s="224">
        <f>SUM(Q299:R299)</f>
        <v>96050</v>
      </c>
      <c r="T299" s="91"/>
      <c r="U299" s="207"/>
      <c r="V299" s="207"/>
      <c r="W299" s="207">
        <f>SUM(W294:W298)</f>
        <v>71194.42</v>
      </c>
      <c r="X299" s="207">
        <f>SUM(X294:X298)</f>
        <v>0</v>
      </c>
      <c r="Y299" s="207">
        <f>SUM(W299:X299)</f>
        <v>71194.42</v>
      </c>
      <c r="Z299" s="91"/>
      <c r="AA299" s="189"/>
      <c r="AB299" s="189"/>
      <c r="AC299" s="189">
        <f>SUM(AC294:AC298)</f>
        <v>222308.9</v>
      </c>
      <c r="AD299" s="189">
        <f>SUM(AD294:AD298)</f>
        <v>0</v>
      </c>
      <c r="AE299" s="189">
        <f>SUM(AC299:AD299)</f>
        <v>222308.9</v>
      </c>
      <c r="AF299" s="93"/>
      <c r="AG299" s="171"/>
      <c r="AH299" s="171"/>
      <c r="AI299" s="171">
        <f>SUM(AI294:AI298)</f>
        <v>438662.9500000155</v>
      </c>
      <c r="AJ299" s="171">
        <f>SUM(AJ294:AJ298)</f>
        <v>0</v>
      </c>
      <c r="AK299" s="171">
        <f>SUM(AI299:AJ299)</f>
        <v>438662.9500000155</v>
      </c>
      <c r="AL299" s="91"/>
      <c r="AM299" s="305">
        <f>SUM(AM294:AM298)</f>
        <v>1605.97</v>
      </c>
      <c r="AN299" s="305">
        <f>SUM(AN294:AN298)</f>
        <v>0</v>
      </c>
      <c r="AO299" s="18">
        <f t="shared" si="132"/>
        <v>1605.97</v>
      </c>
      <c r="AP299" s="305">
        <f>SUM(AP294:AP298)</f>
        <v>343361.6</v>
      </c>
      <c r="AQ299" s="305">
        <f>SUM(AQ294:AQ298)</f>
        <v>0</v>
      </c>
      <c r="AR299" s="305">
        <f t="shared" si="133"/>
        <v>343361.6</v>
      </c>
      <c r="AS299" s="91"/>
      <c r="AT299" s="285"/>
      <c r="AU299" s="285"/>
      <c r="AV299" s="285">
        <f>SUM(AV294:AV298)</f>
        <v>1415817.5300000154</v>
      </c>
      <c r="AW299" s="285">
        <f>SUM(AW294:AW298)</f>
        <v>0</v>
      </c>
      <c r="AX299" s="285">
        <f t="shared" si="135"/>
        <v>1415817.5300000154</v>
      </c>
      <c r="AY299" s="91"/>
      <c r="AZ299" s="144"/>
      <c r="BA299" s="91"/>
      <c r="BB299" s="91"/>
      <c r="BC299" s="91"/>
      <c r="BD299" s="91"/>
      <c r="BE299" s="91"/>
      <c r="BF299" s="91"/>
      <c r="BG299" s="91"/>
      <c r="BH299" s="91"/>
    </row>
    <row r="300" spans="1:52" ht="18.75">
      <c r="A300" s="17" t="s">
        <v>441</v>
      </c>
      <c r="B300" s="251"/>
      <c r="C300" s="252"/>
      <c r="D300" s="251">
        <v>172917514.71</v>
      </c>
      <c r="E300" s="251"/>
      <c r="F300" s="247">
        <f>SUM(B300:C300)</f>
        <v>0</v>
      </c>
      <c r="H300" s="50"/>
      <c r="I300" s="233"/>
      <c r="J300" s="233"/>
      <c r="K300" s="233">
        <v>244239.66</v>
      </c>
      <c r="L300" s="233"/>
      <c r="M300" s="234">
        <f>SUM(K300:L300)</f>
        <v>244239.66</v>
      </c>
      <c r="O300" s="216"/>
      <c r="P300" s="216"/>
      <c r="Q300" s="216">
        <v>96050</v>
      </c>
      <c r="R300" s="216"/>
      <c r="S300" s="224">
        <f>SUM(Q300:R300)</f>
        <v>96050</v>
      </c>
      <c r="U300" s="199"/>
      <c r="V300" s="199"/>
      <c r="W300" s="199">
        <v>71194.42</v>
      </c>
      <c r="X300" s="199"/>
      <c r="Y300" s="207">
        <f>SUM(W300:X300)</f>
        <v>71194.42</v>
      </c>
      <c r="AA300" s="181"/>
      <c r="AB300" s="181"/>
      <c r="AC300" s="181">
        <v>222308.9</v>
      </c>
      <c r="AD300" s="181"/>
      <c r="AE300" s="189">
        <f>SUM(AC300:AD300)</f>
        <v>222308.9</v>
      </c>
      <c r="AG300" s="163"/>
      <c r="AH300" s="163"/>
      <c r="AI300" s="163">
        <v>438662.95</v>
      </c>
      <c r="AJ300" s="163"/>
      <c r="AK300" s="171">
        <f>SUM(AI300:AJ300)</f>
        <v>438662.95</v>
      </c>
      <c r="AM300" s="107">
        <v>1605.97</v>
      </c>
      <c r="AN300" s="107">
        <v>0</v>
      </c>
      <c r="AO300" s="18">
        <f t="shared" si="132"/>
        <v>1605.97</v>
      </c>
      <c r="AP300" s="107">
        <v>343361.6</v>
      </c>
      <c r="AQ300" s="107">
        <v>0</v>
      </c>
      <c r="AR300" s="305">
        <f t="shared" si="133"/>
        <v>343361.6</v>
      </c>
      <c r="AT300" s="279"/>
      <c r="AU300" s="279"/>
      <c r="AV300" s="279">
        <v>173989970.64</v>
      </c>
      <c r="AW300" s="279"/>
      <c r="AX300" s="285">
        <f t="shared" si="135"/>
        <v>173989970.64</v>
      </c>
      <c r="AZ300" s="50"/>
    </row>
    <row r="301" spans="1:60" s="17" customFormat="1" ht="19.5" thickBot="1">
      <c r="A301" s="17" t="s">
        <v>433</v>
      </c>
      <c r="B301" s="255">
        <f>+B299-B300</f>
        <v>0</v>
      </c>
      <c r="C301" s="256"/>
      <c r="D301" s="255">
        <f>+D299-D300</f>
        <v>152041.0799999833</v>
      </c>
      <c r="E301" s="255"/>
      <c r="F301" s="257">
        <f>SUM(B301:C301)</f>
        <v>0</v>
      </c>
      <c r="G301" s="106"/>
      <c r="H301" s="144"/>
      <c r="I301" s="236">
        <f>+I299-I300</f>
        <v>0</v>
      </c>
      <c r="J301" s="236"/>
      <c r="K301" s="236">
        <f>+K299-K300</f>
        <v>0</v>
      </c>
      <c r="L301" s="236"/>
      <c r="M301" s="236">
        <f>SUM(K301:L301)</f>
        <v>0</v>
      </c>
      <c r="N301" s="91"/>
      <c r="O301" s="218">
        <f>+O299-O300</f>
        <v>0</v>
      </c>
      <c r="P301" s="218"/>
      <c r="Q301" s="218">
        <f>+Q299-Q300</f>
        <v>0</v>
      </c>
      <c r="R301" s="218"/>
      <c r="S301" s="218">
        <f>SUM(Q301:R301)</f>
        <v>0</v>
      </c>
      <c r="T301" s="91"/>
      <c r="U301" s="201">
        <f>+U299-U300</f>
        <v>0</v>
      </c>
      <c r="V301" s="201"/>
      <c r="W301" s="201">
        <f>+W299-W300</f>
        <v>0</v>
      </c>
      <c r="X301" s="201"/>
      <c r="Y301" s="201">
        <f>SUM(W301:X301)</f>
        <v>0</v>
      </c>
      <c r="Z301" s="91"/>
      <c r="AA301" s="183">
        <f>+AA299-AA300</f>
        <v>0</v>
      </c>
      <c r="AB301" s="183"/>
      <c r="AC301" s="183">
        <f>+AC299-AC300</f>
        <v>0</v>
      </c>
      <c r="AD301" s="183"/>
      <c r="AE301" s="183">
        <f>SUM(AC301:AD301)</f>
        <v>0</v>
      </c>
      <c r="AF301" s="106"/>
      <c r="AG301" s="165">
        <f>+AG299-AG300</f>
        <v>0</v>
      </c>
      <c r="AH301" s="165"/>
      <c r="AI301" s="165">
        <f>+AI299-AI300</f>
        <v>1.548323780298233E-08</v>
      </c>
      <c r="AJ301" s="165"/>
      <c r="AK301" s="165">
        <f>SUM(AI301:AJ301)</f>
        <v>1.548323780298233E-08</v>
      </c>
      <c r="AL301" s="91"/>
      <c r="AM301" s="300">
        <f aca="true" t="shared" si="136" ref="AM301:AR301">+AM299-AM300</f>
        <v>0</v>
      </c>
      <c r="AN301" s="300">
        <f t="shared" si="136"/>
        <v>0</v>
      </c>
      <c r="AO301" s="300">
        <f t="shared" si="136"/>
        <v>0</v>
      </c>
      <c r="AP301" s="300">
        <f t="shared" si="136"/>
        <v>0</v>
      </c>
      <c r="AQ301" s="300">
        <f t="shared" si="136"/>
        <v>0</v>
      </c>
      <c r="AR301" s="300">
        <f t="shared" si="136"/>
        <v>0</v>
      </c>
      <c r="AS301" s="91"/>
      <c r="AT301" s="281">
        <f>+AT299-AT300</f>
        <v>0</v>
      </c>
      <c r="AU301" s="281"/>
      <c r="AV301" s="281">
        <f>+AV299-AV300</f>
        <v>-172574153.10999998</v>
      </c>
      <c r="AW301" s="281"/>
      <c r="AX301" s="281">
        <f t="shared" si="135"/>
        <v>-172574153.10999998</v>
      </c>
      <c r="AY301" s="91"/>
      <c r="AZ301" s="144"/>
      <c r="BA301" s="91"/>
      <c r="BB301" s="91"/>
      <c r="BC301" s="91"/>
      <c r="BD301" s="91"/>
      <c r="BE301" s="91"/>
      <c r="BF301" s="91"/>
      <c r="BG301" s="91"/>
      <c r="BH301" s="91"/>
    </row>
    <row r="302" ht="19.5" thickTop="1"/>
    <row r="314" spans="1:50" ht="18.75">
      <c r="A314" s="51" t="s">
        <v>154</v>
      </c>
      <c r="B314" s="248" t="s">
        <v>56</v>
      </c>
      <c r="C314" s="249" t="s">
        <v>57</v>
      </c>
      <c r="D314" s="248" t="s">
        <v>56</v>
      </c>
      <c r="E314" s="249" t="s">
        <v>57</v>
      </c>
      <c r="F314" s="250" t="s">
        <v>101</v>
      </c>
      <c r="G314" s="97"/>
      <c r="I314" s="232" t="s">
        <v>56</v>
      </c>
      <c r="J314" s="232" t="s">
        <v>57</v>
      </c>
      <c r="K314" s="232" t="s">
        <v>56</v>
      </c>
      <c r="L314" s="232" t="s">
        <v>57</v>
      </c>
      <c r="M314" s="232" t="s">
        <v>101</v>
      </c>
      <c r="O314" s="215" t="s">
        <v>56</v>
      </c>
      <c r="P314" s="215" t="s">
        <v>57</v>
      </c>
      <c r="Q314" s="215" t="s">
        <v>56</v>
      </c>
      <c r="R314" s="215" t="s">
        <v>57</v>
      </c>
      <c r="S314" s="215" t="s">
        <v>101</v>
      </c>
      <c r="U314" s="198" t="s">
        <v>56</v>
      </c>
      <c r="V314" s="198" t="s">
        <v>57</v>
      </c>
      <c r="W314" s="198" t="s">
        <v>56</v>
      </c>
      <c r="X314" s="198" t="s">
        <v>57</v>
      </c>
      <c r="Y314" s="198" t="s">
        <v>101</v>
      </c>
      <c r="AA314" s="180" t="s">
        <v>56</v>
      </c>
      <c r="AB314" s="180" t="s">
        <v>57</v>
      </c>
      <c r="AC314" s="180" t="s">
        <v>56</v>
      </c>
      <c r="AD314" s="180" t="s">
        <v>57</v>
      </c>
      <c r="AE314" s="180" t="s">
        <v>101</v>
      </c>
      <c r="AF314" s="97"/>
      <c r="AG314" s="162" t="s">
        <v>56</v>
      </c>
      <c r="AH314" s="162" t="s">
        <v>57</v>
      </c>
      <c r="AI314" s="162" t="s">
        <v>56</v>
      </c>
      <c r="AJ314" s="162" t="s">
        <v>57</v>
      </c>
      <c r="AK314" s="162" t="s">
        <v>101</v>
      </c>
      <c r="AM314" s="18" t="s">
        <v>56</v>
      </c>
      <c r="AN314" s="18" t="s">
        <v>57</v>
      </c>
      <c r="AO314" s="18" t="s">
        <v>101</v>
      </c>
      <c r="AP314" s="18" t="s">
        <v>56</v>
      </c>
      <c r="AQ314" s="18" t="s">
        <v>57</v>
      </c>
      <c r="AR314" s="18" t="s">
        <v>101</v>
      </c>
      <c r="AT314" s="278" t="s">
        <v>56</v>
      </c>
      <c r="AU314" s="278" t="s">
        <v>57</v>
      </c>
      <c r="AV314" s="278" t="s">
        <v>56</v>
      </c>
      <c r="AW314" s="278" t="s">
        <v>57</v>
      </c>
      <c r="AX314" s="278" t="s">
        <v>101</v>
      </c>
    </row>
    <row r="315" spans="1:50" ht="18.75">
      <c r="A315" s="43" t="s">
        <v>253</v>
      </c>
      <c r="B315" s="251">
        <v>199647998.51</v>
      </c>
      <c r="C315" s="252">
        <v>224867028.01</v>
      </c>
      <c r="D315" s="251">
        <v>199647998.51</v>
      </c>
      <c r="E315" s="252">
        <v>224867028.01</v>
      </c>
      <c r="F315" s="247">
        <f>SUM(B315:C315)</f>
        <v>424515026.52</v>
      </c>
      <c r="I315" s="233">
        <v>167673725.13</v>
      </c>
      <c r="J315" s="233">
        <v>8299235.42</v>
      </c>
      <c r="K315" s="233">
        <v>167673725.13</v>
      </c>
      <c r="L315" s="233">
        <v>8299235.42</v>
      </c>
      <c r="M315" s="233">
        <f>SUM(K315:L315)</f>
        <v>175972960.54999998</v>
      </c>
      <c r="O315" s="216">
        <v>111247305.74</v>
      </c>
      <c r="P315" s="216">
        <v>6469192.08</v>
      </c>
      <c r="Q315" s="216">
        <v>111247305.74</v>
      </c>
      <c r="R315" s="216">
        <v>6469192.08</v>
      </c>
      <c r="S315" s="216">
        <f>SUM(Q315:R315)</f>
        <v>117716497.82</v>
      </c>
      <c r="U315" s="199">
        <v>99235229.09</v>
      </c>
      <c r="V315" s="199">
        <v>36861899.35</v>
      </c>
      <c r="W315" s="199">
        <v>99235229.09</v>
      </c>
      <c r="X315" s="199">
        <v>36861899.35</v>
      </c>
      <c r="Y315" s="199">
        <f>SUM(W315:X315)</f>
        <v>136097128.44</v>
      </c>
      <c r="AA315" s="181">
        <v>283987909.1</v>
      </c>
      <c r="AB315" s="181">
        <v>127618245.56</v>
      </c>
      <c r="AC315" s="181">
        <v>283987909.1</v>
      </c>
      <c r="AD315" s="181">
        <v>127618245.56</v>
      </c>
      <c r="AE315" s="181">
        <f>SUM(AC315:AD315)</f>
        <v>411606154.66</v>
      </c>
      <c r="AG315" s="163">
        <v>250931163.87</v>
      </c>
      <c r="AH315" s="163">
        <v>122170464.83</v>
      </c>
      <c r="AI315" s="163">
        <v>250931163.87</v>
      </c>
      <c r="AJ315" s="163">
        <v>122170464.83</v>
      </c>
      <c r="AK315" s="163">
        <f>SUM(AI315:AJ315)</f>
        <v>373101628.7</v>
      </c>
      <c r="AM315" s="107">
        <v>161089724.84</v>
      </c>
      <c r="AN315" s="107">
        <v>27893119.76</v>
      </c>
      <c r="AO315" s="94">
        <f>SUM(AM315:AN315)</f>
        <v>188982844.6</v>
      </c>
      <c r="AP315" s="107">
        <v>0</v>
      </c>
      <c r="AQ315" s="107">
        <v>188982844.6</v>
      </c>
      <c r="AR315" s="107">
        <f>SUM(AP315:AQ315)</f>
        <v>188982844.6</v>
      </c>
      <c r="AT315" s="279" t="e">
        <f>+#REF!+I315+O315+U315+AA315+AG315+AM315</f>
        <v>#REF!</v>
      </c>
      <c r="AU315" s="279" t="e">
        <f>+A315+J315+P315+V315+AB315+AH315+AN315</f>
        <v>#VALUE!</v>
      </c>
      <c r="AV315" s="279">
        <f aca="true" t="shared" si="137" ref="AV315:AW318">+B315+K315+Q315+W315+AC315+AI315+AP315</f>
        <v>1112723331.44</v>
      </c>
      <c r="AW315" s="279">
        <f t="shared" si="137"/>
        <v>715268909.85</v>
      </c>
      <c r="AX315" s="279">
        <f>SUM(AV315:AW315)</f>
        <v>1827992241.29</v>
      </c>
    </row>
    <row r="316" spans="1:50" ht="18.75">
      <c r="A316" s="43" t="s">
        <v>255</v>
      </c>
      <c r="B316" s="251">
        <v>1568239198.54</v>
      </c>
      <c r="C316" s="252">
        <v>1139079957.51</v>
      </c>
      <c r="D316" s="251">
        <v>1568239198.54</v>
      </c>
      <c r="E316" s="252">
        <v>1139079957.51</v>
      </c>
      <c r="F316" s="247">
        <f>SUM(B316:C316)</f>
        <v>2707319156.05</v>
      </c>
      <c r="I316" s="233">
        <v>67237486.93</v>
      </c>
      <c r="J316" s="233">
        <v>99367892.74</v>
      </c>
      <c r="K316" s="233">
        <v>67237486.93</v>
      </c>
      <c r="L316" s="233">
        <v>99367892.74</v>
      </c>
      <c r="M316" s="233">
        <f>SUM(K316:L316)</f>
        <v>166605379.67000002</v>
      </c>
      <c r="O316" s="216">
        <v>-45444357.74</v>
      </c>
      <c r="P316" s="216">
        <v>5450585.86</v>
      </c>
      <c r="Q316" s="216">
        <v>-45444357.74</v>
      </c>
      <c r="R316" s="216">
        <v>5450585.86</v>
      </c>
      <c r="S316" s="216">
        <f>SUM(Q316:R316)</f>
        <v>-39993771.88</v>
      </c>
      <c r="U316" s="199">
        <v>59715947.81</v>
      </c>
      <c r="V316" s="199">
        <v>22182074.63</v>
      </c>
      <c r="W316" s="199">
        <v>59715947.81</v>
      </c>
      <c r="X316" s="199">
        <v>22182074.63</v>
      </c>
      <c r="Y316" s="199">
        <f>SUM(W316:X316)</f>
        <v>81898022.44</v>
      </c>
      <c r="AA316" s="181">
        <v>-30554708.08</v>
      </c>
      <c r="AB316" s="181">
        <v>-40532574.52</v>
      </c>
      <c r="AC316" s="181">
        <v>-30554708.08</v>
      </c>
      <c r="AD316" s="181">
        <v>-40532574.52</v>
      </c>
      <c r="AE316" s="181">
        <f>SUM(AC316:AD316)</f>
        <v>-71087282.6</v>
      </c>
      <c r="AG316" s="163">
        <v>-1559392.29</v>
      </c>
      <c r="AH316" s="163">
        <v>-12475543.01</v>
      </c>
      <c r="AI316" s="163">
        <v>-1559392.29</v>
      </c>
      <c r="AJ316" s="163">
        <v>-12475543.01</v>
      </c>
      <c r="AK316" s="163">
        <f>SUM(AI316:AJ316)</f>
        <v>-14034935.3</v>
      </c>
      <c r="AM316" s="107">
        <f>งบฐานะการเงิน_ชม!E36</f>
        <v>81724781.3</v>
      </c>
      <c r="AN316" s="107">
        <f>งบฐานะการเงิน_ชม!F36</f>
        <v>15088485.38</v>
      </c>
      <c r="AO316" s="94">
        <f>SUM(AM316:AN316)</f>
        <v>96813266.67999999</v>
      </c>
      <c r="AP316" s="107">
        <v>222622855.19</v>
      </c>
      <c r="AQ316" s="107">
        <v>-150476133.98</v>
      </c>
      <c r="AR316" s="107">
        <f>SUM(AP316:AQ316)</f>
        <v>72146721.21000001</v>
      </c>
      <c r="AT316" s="279" t="e">
        <f>+#REF!+I316+O316+U316+AA316+AG316+AM316</f>
        <v>#REF!</v>
      </c>
      <c r="AU316" s="279" t="e">
        <f>+A316+J316+P316+V316+AB316+AH316+AN316</f>
        <v>#VALUE!</v>
      </c>
      <c r="AV316" s="279">
        <f t="shared" si="137"/>
        <v>1840257030.3600001</v>
      </c>
      <c r="AW316" s="279">
        <f t="shared" si="137"/>
        <v>1062596259.23</v>
      </c>
      <c r="AX316" s="279">
        <f>SUM(AV316:AW316)</f>
        <v>2902853289.59</v>
      </c>
    </row>
    <row r="317" spans="1:50" ht="18.75">
      <c r="A317" s="43" t="s">
        <v>388</v>
      </c>
      <c r="B317" s="258"/>
      <c r="C317" s="259"/>
      <c r="D317" s="258"/>
      <c r="E317" s="259"/>
      <c r="I317" s="237"/>
      <c r="J317" s="237"/>
      <c r="K317" s="237"/>
      <c r="L317" s="237"/>
      <c r="M317" s="237"/>
      <c r="O317" s="219"/>
      <c r="P317" s="219"/>
      <c r="Q317" s="219"/>
      <c r="R317" s="219"/>
      <c r="S317" s="219"/>
      <c r="U317" s="202"/>
      <c r="V317" s="202"/>
      <c r="W317" s="202"/>
      <c r="X317" s="202"/>
      <c r="Y317" s="199"/>
      <c r="AA317" s="184"/>
      <c r="AB317" s="184"/>
      <c r="AC317" s="184"/>
      <c r="AD317" s="184"/>
      <c r="AE317" s="181"/>
      <c r="AG317" s="166"/>
      <c r="AH317" s="166"/>
      <c r="AI317" s="166"/>
      <c r="AJ317" s="166"/>
      <c r="AK317" s="163">
        <f>SUM(AI317:AJ317)</f>
        <v>0</v>
      </c>
      <c r="AM317" s="299"/>
      <c r="AN317" s="299"/>
      <c r="AO317" s="94">
        <f>SUM(AM317:AN317)</f>
        <v>0</v>
      </c>
      <c r="AP317" s="299">
        <v>0</v>
      </c>
      <c r="AQ317" s="299">
        <v>0</v>
      </c>
      <c r="AR317" s="107">
        <f>SUM(AP317:AQ317)</f>
        <v>0</v>
      </c>
      <c r="AT317" s="279" t="e">
        <f>+#REF!+I317+O317+U317+AA317+AG317+AM317</f>
        <v>#REF!</v>
      </c>
      <c r="AU317" s="279" t="e">
        <f>+A317+J317+P317+V317+AB317+AH317+AN317</f>
        <v>#VALUE!</v>
      </c>
      <c r="AV317" s="279">
        <f t="shared" si="137"/>
        <v>0</v>
      </c>
      <c r="AW317" s="279">
        <f t="shared" si="137"/>
        <v>0</v>
      </c>
      <c r="AX317" s="279">
        <f>SUM(AV317:AW317)</f>
        <v>0</v>
      </c>
    </row>
    <row r="318" spans="1:50" ht="18.75">
      <c r="A318" s="4" t="s">
        <v>254</v>
      </c>
      <c r="B318" s="258"/>
      <c r="C318" s="259"/>
      <c r="D318" s="258"/>
      <c r="E318" s="259"/>
      <c r="F318" s="247">
        <f>SUM(B318:C318)</f>
        <v>0</v>
      </c>
      <c r="I318" s="237"/>
      <c r="J318" s="237">
        <v>0</v>
      </c>
      <c r="K318" s="237"/>
      <c r="L318" s="237">
        <v>0</v>
      </c>
      <c r="M318" s="237"/>
      <c r="O318" s="219"/>
      <c r="P318" s="219"/>
      <c r="Q318" s="219"/>
      <c r="R318" s="219"/>
      <c r="S318" s="219"/>
      <c r="U318" s="202"/>
      <c r="V318" s="202"/>
      <c r="W318" s="202"/>
      <c r="X318" s="202"/>
      <c r="Y318" s="199">
        <f>SUM(W318:X318)</f>
        <v>0</v>
      </c>
      <c r="AA318" s="184"/>
      <c r="AB318" s="184"/>
      <c r="AC318" s="184"/>
      <c r="AD318" s="184"/>
      <c r="AE318" s="181">
        <f>SUM(AC318:AD318)</f>
        <v>0</v>
      </c>
      <c r="AG318" s="166"/>
      <c r="AH318" s="166"/>
      <c r="AI318" s="166"/>
      <c r="AJ318" s="166"/>
      <c r="AK318" s="163">
        <f>SUM(AI318:AJ318)</f>
        <v>0</v>
      </c>
      <c r="AM318" s="299"/>
      <c r="AN318" s="299"/>
      <c r="AO318" s="94">
        <f>SUM(AM318:AN318)</f>
        <v>0</v>
      </c>
      <c r="AP318" s="299">
        <v>0</v>
      </c>
      <c r="AQ318" s="299">
        <v>0</v>
      </c>
      <c r="AR318" s="107">
        <f>SUM(AP318:AQ318)</f>
        <v>0</v>
      </c>
      <c r="AT318" s="279" t="e">
        <f>+#REF!+I318+O318+U318+AA318+AG318+AM318</f>
        <v>#REF!</v>
      </c>
      <c r="AU318" s="279" t="e">
        <f>+A318+J318+P318+V318+AB318+AH318+AN318</f>
        <v>#VALUE!</v>
      </c>
      <c r="AV318" s="279">
        <f t="shared" si="137"/>
        <v>0</v>
      </c>
      <c r="AW318" s="279">
        <f t="shared" si="137"/>
        <v>0</v>
      </c>
      <c r="AX318" s="279">
        <f>SUM(AV318:AW318)</f>
        <v>0</v>
      </c>
    </row>
    <row r="319" spans="1:60" s="17" customFormat="1" ht="19.5" thickBot="1">
      <c r="A319" s="17" t="s">
        <v>256</v>
      </c>
      <c r="B319" s="255">
        <f>SUM(B315:B318)</f>
        <v>1767887197.05</v>
      </c>
      <c r="C319" s="256">
        <f>SUM(C315:C318)</f>
        <v>1363946985.52</v>
      </c>
      <c r="D319" s="255">
        <f>SUM(D315:D318)</f>
        <v>1767887197.05</v>
      </c>
      <c r="E319" s="256">
        <f>SUM(E315:E318)</f>
        <v>1363946985.52</v>
      </c>
      <c r="F319" s="247">
        <f>SUM(F315:F318)</f>
        <v>3131834182.57</v>
      </c>
      <c r="G319" s="106"/>
      <c r="H319" s="144"/>
      <c r="I319" s="236">
        <f>SUM(I315:I318)</f>
        <v>234911212.06</v>
      </c>
      <c r="J319" s="236">
        <f>SUM(J315:J318)</f>
        <v>107667128.16</v>
      </c>
      <c r="K319" s="236">
        <f>SUM(K315:K318)</f>
        <v>234911212.06</v>
      </c>
      <c r="L319" s="236">
        <f>SUM(L315:L318)</f>
        <v>107667128.16</v>
      </c>
      <c r="M319" s="236">
        <f>SUM(M315:M318)</f>
        <v>342578340.22</v>
      </c>
      <c r="N319" s="91"/>
      <c r="O319" s="218">
        <f>SUM(O315:O318)</f>
        <v>65802947.99999999</v>
      </c>
      <c r="P319" s="218">
        <f>SUM(P315:P318)</f>
        <v>11919777.940000001</v>
      </c>
      <c r="Q319" s="218">
        <f>SUM(Q315:Q318)</f>
        <v>65802947.99999999</v>
      </c>
      <c r="R319" s="218">
        <f>SUM(R315:R318)</f>
        <v>11919777.940000001</v>
      </c>
      <c r="S319" s="218">
        <f>SUM(S315:S318)</f>
        <v>77722725.94</v>
      </c>
      <c r="T319" s="91"/>
      <c r="U319" s="201">
        <f>SUM(U315:U318)</f>
        <v>158951176.9</v>
      </c>
      <c r="V319" s="201">
        <f>SUM(V315:V318)</f>
        <v>59043973.980000004</v>
      </c>
      <c r="W319" s="201">
        <f>SUM(W315:W318)</f>
        <v>158951176.9</v>
      </c>
      <c r="X319" s="201">
        <f>SUM(X315:X318)</f>
        <v>59043973.980000004</v>
      </c>
      <c r="Y319" s="201">
        <f>SUM(Y315:Y318)</f>
        <v>217995150.88</v>
      </c>
      <c r="Z319" s="91"/>
      <c r="AA319" s="183">
        <f>SUM(AA315:AA318)</f>
        <v>253433201.02000004</v>
      </c>
      <c r="AB319" s="183">
        <f>SUM(AB315:AB318)</f>
        <v>87085671.03999999</v>
      </c>
      <c r="AC319" s="183">
        <f>SUM(AC315:AC318)</f>
        <v>253433201.02000004</v>
      </c>
      <c r="AD319" s="183">
        <f>SUM(AD315:AD318)</f>
        <v>87085671.03999999</v>
      </c>
      <c r="AE319" s="183">
        <f>SUM(AE315:AE318)</f>
        <v>340518872.06000006</v>
      </c>
      <c r="AF319" s="106"/>
      <c r="AG319" s="165">
        <f>SUM(AG315:AG318)</f>
        <v>249371771.58</v>
      </c>
      <c r="AH319" s="165">
        <f>SUM(AH315:AH318)</f>
        <v>109694921.82</v>
      </c>
      <c r="AI319" s="165">
        <f>SUM(AI315:AI318)</f>
        <v>249371771.58</v>
      </c>
      <c r="AJ319" s="165">
        <f>SUM(AJ315:AJ318)</f>
        <v>109694921.82</v>
      </c>
      <c r="AK319" s="165">
        <f>SUM(AK315:AK318)</f>
        <v>359066693.4</v>
      </c>
      <c r="AL319" s="91"/>
      <c r="AM319" s="300">
        <f aca="true" t="shared" si="138" ref="AM319:AR319">SUM(AM315:AM318)</f>
        <v>242814506.14</v>
      </c>
      <c r="AN319" s="300">
        <f t="shared" si="138"/>
        <v>42981605.14</v>
      </c>
      <c r="AO319" s="304">
        <f t="shared" si="138"/>
        <v>285796111.28</v>
      </c>
      <c r="AP319" s="300">
        <f t="shared" si="138"/>
        <v>222622855.19</v>
      </c>
      <c r="AQ319" s="300">
        <f t="shared" si="138"/>
        <v>38506710.620000005</v>
      </c>
      <c r="AR319" s="300">
        <f t="shared" si="138"/>
        <v>261129565.81</v>
      </c>
      <c r="AS319" s="91"/>
      <c r="AT319" s="281" t="e">
        <f>SUM(AT315:AT318)</f>
        <v>#REF!</v>
      </c>
      <c r="AU319" s="281" t="e">
        <f>SUM(AU315:AU318)</f>
        <v>#VALUE!</v>
      </c>
      <c r="AV319" s="281">
        <f>SUM(AV315:AV318)</f>
        <v>2952980361.8</v>
      </c>
      <c r="AW319" s="281">
        <f>SUM(AW315:AW318)</f>
        <v>1777865169.08</v>
      </c>
      <c r="AX319" s="281">
        <f>SUM(AX315:AX318)</f>
        <v>4730845530.88</v>
      </c>
      <c r="AY319" s="91"/>
      <c r="AZ319" s="144"/>
      <c r="BA319" s="91"/>
      <c r="BB319" s="91"/>
      <c r="BC319" s="91"/>
      <c r="BD319" s="91"/>
      <c r="BE319" s="91"/>
      <c r="BF319" s="91"/>
      <c r="BG319" s="91"/>
      <c r="BH319" s="91"/>
    </row>
    <row r="320" spans="42:44" ht="19.5" thickTop="1">
      <c r="AP320" s="93">
        <v>22017050.95</v>
      </c>
      <c r="AQ320" s="93">
        <f>1722192.54+15840</f>
        <v>1738032.54</v>
      </c>
      <c r="AR320" s="93">
        <f>SUM(AP320:AQ320)</f>
        <v>23755083.49</v>
      </c>
    </row>
    <row r="321" spans="42:44" ht="18.75">
      <c r="AP321" s="93">
        <v>222622855.19</v>
      </c>
      <c r="AQ321" s="93">
        <f>-150476133.98+911461.98</f>
        <v>-149564672</v>
      </c>
      <c r="AR321" s="93">
        <f>SUM(AP321:AQ321)</f>
        <v>73058183.19</v>
      </c>
    </row>
    <row r="322" spans="42:44" ht="18.75">
      <c r="AP322" s="93">
        <f>AP316+AP320</f>
        <v>244639906.14</v>
      </c>
      <c r="AQ322" s="93">
        <f>AQ316+AQ320</f>
        <v>-148738101.44</v>
      </c>
      <c r="AR322" s="93">
        <f>AR316+AR320</f>
        <v>95901804.7</v>
      </c>
    </row>
  </sheetData>
  <sheetProtection/>
  <mergeCells count="17">
    <mergeCell ref="A1:AR1"/>
    <mergeCell ref="A2:AR2"/>
    <mergeCell ref="A3:AR3"/>
    <mergeCell ref="B4:C4"/>
    <mergeCell ref="D4:E4"/>
    <mergeCell ref="I4:J4"/>
    <mergeCell ref="K4:L4"/>
    <mergeCell ref="O4:P4"/>
    <mergeCell ref="Q4:R4"/>
    <mergeCell ref="AM4:AN4"/>
    <mergeCell ref="AP4:AQ4"/>
    <mergeCell ref="U4:V4"/>
    <mergeCell ref="W4:X4"/>
    <mergeCell ref="AA4:AB4"/>
    <mergeCell ref="AC4:AD4"/>
    <mergeCell ref="AG4:AH4"/>
    <mergeCell ref="AI4:AJ4"/>
  </mergeCells>
  <printOptions/>
  <pageMargins left="0.3" right="0.236220472440945" top="0.42" bottom="0.51" header="0.31496062992126" footer="0.17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54"/>
  <sheetViews>
    <sheetView view="pageBreakPreview" zoomScaleSheetLayoutView="100" zoomScalePageLayoutView="0" workbookViewId="0" topLeftCell="A1">
      <selection activeCell="B35" sqref="B35"/>
    </sheetView>
  </sheetViews>
  <sheetFormatPr defaultColWidth="11.00390625" defaultRowHeight="15"/>
  <cols>
    <col min="1" max="1" width="42.8515625" style="67" customWidth="1"/>
    <col min="2" max="2" width="10.7109375" style="69" customWidth="1"/>
    <col min="3" max="3" width="13.7109375" style="69" customWidth="1"/>
    <col min="4" max="4" width="13.00390625" style="69" hidden="1" customWidth="1"/>
    <col min="5" max="5" width="13.00390625" style="118" hidden="1" customWidth="1"/>
    <col min="6" max="6" width="14.57421875" style="70" customWidth="1"/>
    <col min="7" max="7" width="11.00390625" style="67" customWidth="1"/>
    <col min="8" max="8" width="11.7109375" style="67" bestFit="1" customWidth="1"/>
    <col min="9" max="16384" width="11.00390625" style="67" customWidth="1"/>
  </cols>
  <sheetData>
    <row r="1" spans="1:6" ht="18.75">
      <c r="A1" s="335" t="s">
        <v>501</v>
      </c>
      <c r="B1" s="335"/>
      <c r="C1" s="335"/>
      <c r="D1" s="335"/>
      <c r="E1" s="335"/>
      <c r="F1" s="335"/>
    </row>
    <row r="2" spans="1:6" ht="18.75">
      <c r="A2" s="335" t="s">
        <v>99</v>
      </c>
      <c r="B2" s="335"/>
      <c r="C2" s="335"/>
      <c r="D2" s="335"/>
      <c r="E2" s="335"/>
      <c r="F2" s="335"/>
    </row>
    <row r="3" spans="1:6" ht="18.75">
      <c r="A3" s="335" t="s">
        <v>497</v>
      </c>
      <c r="B3" s="335"/>
      <c r="C3" s="335"/>
      <c r="D3" s="335"/>
      <c r="E3" s="335"/>
      <c r="F3" s="335"/>
    </row>
    <row r="4" spans="1:6" ht="18.75">
      <c r="A4" s="105"/>
      <c r="B4" s="105"/>
      <c r="C4" s="105"/>
      <c r="D4" s="105"/>
      <c r="E4" s="129"/>
      <c r="F4" s="105"/>
    </row>
    <row r="5" ht="18.75">
      <c r="A5" s="68" t="s">
        <v>484</v>
      </c>
    </row>
    <row r="6" spans="1:6" ht="18.75">
      <c r="A6" s="95" t="s">
        <v>102</v>
      </c>
      <c r="B6" s="96"/>
      <c r="C6" s="97"/>
      <c r="D6" s="97"/>
      <c r="E6" s="97"/>
      <c r="F6" s="98" t="s">
        <v>58</v>
      </c>
    </row>
    <row r="7" spans="1:6" s="69" customFormat="1" ht="18.75">
      <c r="A7" s="132" t="s">
        <v>155</v>
      </c>
      <c r="B7" s="132" t="s">
        <v>156</v>
      </c>
      <c r="C7" s="132" t="s">
        <v>374</v>
      </c>
      <c r="D7" s="132" t="s">
        <v>56</v>
      </c>
      <c r="E7" s="18" t="s">
        <v>57</v>
      </c>
      <c r="F7" s="18" t="s">
        <v>340</v>
      </c>
    </row>
    <row r="8" spans="1:6" s="69" customFormat="1" ht="18.75">
      <c r="A8" s="119" t="s">
        <v>345</v>
      </c>
      <c r="B8" s="103"/>
      <c r="C8" s="103"/>
      <c r="D8" s="103"/>
      <c r="E8" s="104"/>
      <c r="F8" s="104"/>
    </row>
    <row r="9" spans="1:6" s="69" customFormat="1" ht="18.75">
      <c r="A9" s="116" t="s">
        <v>524</v>
      </c>
      <c r="B9" s="114" t="s">
        <v>159</v>
      </c>
      <c r="C9" s="114">
        <v>6446000030</v>
      </c>
      <c r="D9" s="64">
        <v>1949208.98</v>
      </c>
      <c r="E9" s="64">
        <v>0</v>
      </c>
      <c r="F9" s="104">
        <v>0</v>
      </c>
    </row>
    <row r="10" spans="1:6" s="69" customFormat="1" ht="18.75">
      <c r="A10" s="116" t="s">
        <v>525</v>
      </c>
      <c r="B10" s="114" t="s">
        <v>159</v>
      </c>
      <c r="C10" s="114">
        <v>6446000073</v>
      </c>
      <c r="D10" s="64">
        <v>0</v>
      </c>
      <c r="E10" s="64">
        <v>9436199.8</v>
      </c>
      <c r="F10" s="104">
        <v>0</v>
      </c>
    </row>
    <row r="11" spans="1:6" ht="18.75">
      <c r="A11" s="110" t="s">
        <v>526</v>
      </c>
      <c r="B11" s="114" t="s">
        <v>528</v>
      </c>
      <c r="C11" s="64" t="s">
        <v>527</v>
      </c>
      <c r="D11" s="64"/>
      <c r="E11" s="64"/>
      <c r="F11" s="104">
        <v>0</v>
      </c>
    </row>
    <row r="12" spans="1:6" ht="18.75">
      <c r="A12" s="110" t="s">
        <v>529</v>
      </c>
      <c r="B12" s="114" t="s">
        <v>159</v>
      </c>
      <c r="C12" s="28">
        <v>6446001126</v>
      </c>
      <c r="D12" s="64"/>
      <c r="E12" s="64"/>
      <c r="F12" s="104">
        <v>300</v>
      </c>
    </row>
    <row r="13" spans="1:6" ht="18.75">
      <c r="A13" s="110" t="s">
        <v>530</v>
      </c>
      <c r="B13" s="114" t="s">
        <v>159</v>
      </c>
      <c r="C13" s="28">
        <v>6446013035</v>
      </c>
      <c r="D13" s="64"/>
      <c r="E13" s="64"/>
      <c r="F13" s="104">
        <v>0</v>
      </c>
    </row>
    <row r="14" spans="1:6" ht="18.75">
      <c r="A14" s="116"/>
      <c r="B14" s="114"/>
      <c r="C14" s="64"/>
      <c r="D14" s="64"/>
      <c r="E14" s="64"/>
      <c r="F14" s="104"/>
    </row>
    <row r="15" spans="1:6" s="69" customFormat="1" ht="18.75">
      <c r="A15" s="119" t="s">
        <v>160</v>
      </c>
      <c r="B15" s="103"/>
      <c r="C15" s="103"/>
      <c r="D15" s="103"/>
      <c r="E15" s="104"/>
      <c r="F15" s="104"/>
    </row>
    <row r="16" spans="1:6" ht="18.75">
      <c r="A16" s="117" t="s">
        <v>531</v>
      </c>
      <c r="B16" s="111" t="s">
        <v>159</v>
      </c>
      <c r="C16" s="28">
        <v>6441042428</v>
      </c>
      <c r="D16" s="64"/>
      <c r="E16" s="64"/>
      <c r="F16" s="104">
        <v>159102.86999999988</v>
      </c>
    </row>
    <row r="17" spans="1:6" ht="18.75">
      <c r="A17" s="110" t="s">
        <v>532</v>
      </c>
      <c r="B17" s="111" t="s">
        <v>159</v>
      </c>
      <c r="C17" s="28">
        <v>6441119064</v>
      </c>
      <c r="D17" s="64"/>
      <c r="E17" s="64"/>
      <c r="F17" s="104">
        <v>32561.279999999995</v>
      </c>
    </row>
    <row r="18" spans="1:6" ht="18.75">
      <c r="A18" s="110" t="s">
        <v>533</v>
      </c>
      <c r="B18" s="111" t="s">
        <v>159</v>
      </c>
      <c r="C18" s="28">
        <v>6011874932</v>
      </c>
      <c r="D18" s="112"/>
      <c r="E18" s="64"/>
      <c r="F18" s="104">
        <v>10633.46999999999</v>
      </c>
    </row>
    <row r="19" spans="1:6" ht="18.75">
      <c r="A19" s="110" t="s">
        <v>534</v>
      </c>
      <c r="B19" s="111" t="s">
        <v>159</v>
      </c>
      <c r="C19" s="28">
        <v>6441131536</v>
      </c>
      <c r="D19" s="112"/>
      <c r="E19" s="64"/>
      <c r="F19" s="104">
        <v>1209500</v>
      </c>
    </row>
    <row r="20" spans="1:6" ht="18.75">
      <c r="A20" s="110" t="s">
        <v>535</v>
      </c>
      <c r="B20" s="111" t="s">
        <v>159</v>
      </c>
      <c r="C20" s="28">
        <v>6440382306</v>
      </c>
      <c r="D20" s="112"/>
      <c r="E20" s="64"/>
      <c r="F20" s="104">
        <v>0</v>
      </c>
    </row>
    <row r="21" spans="1:6" ht="18.75">
      <c r="A21" s="110" t="s">
        <v>536</v>
      </c>
      <c r="B21" s="111" t="s">
        <v>538</v>
      </c>
      <c r="C21" s="28">
        <v>3511184320</v>
      </c>
      <c r="D21" s="64"/>
      <c r="E21" s="64"/>
      <c r="F21" s="104">
        <v>0</v>
      </c>
    </row>
    <row r="22" spans="1:6" ht="18.75">
      <c r="A22" s="110" t="s">
        <v>537</v>
      </c>
      <c r="B22" s="111" t="s">
        <v>538</v>
      </c>
      <c r="C22" s="28">
        <v>3511183261</v>
      </c>
      <c r="D22" s="64"/>
      <c r="E22" s="64"/>
      <c r="F22" s="104">
        <v>15000</v>
      </c>
    </row>
    <row r="23" spans="1:6" ht="18.75">
      <c r="A23" s="110"/>
      <c r="B23" s="111"/>
      <c r="C23" s="28"/>
      <c r="D23" s="64"/>
      <c r="E23" s="64"/>
      <c r="F23" s="104"/>
    </row>
    <row r="24" spans="1:6" ht="18.75">
      <c r="A24" s="119" t="s">
        <v>558</v>
      </c>
      <c r="B24" s="111"/>
      <c r="C24" s="28"/>
      <c r="D24" s="64"/>
      <c r="E24" s="64"/>
      <c r="F24" s="104"/>
    </row>
    <row r="25" spans="1:6" ht="18.75">
      <c r="A25" s="110" t="s">
        <v>539</v>
      </c>
      <c r="B25" s="111" t="s">
        <v>158</v>
      </c>
      <c r="C25" s="28">
        <v>2941003306</v>
      </c>
      <c r="D25" s="64"/>
      <c r="E25" s="64"/>
      <c r="F25" s="104">
        <v>8150</v>
      </c>
    </row>
    <row r="26" spans="1:6" ht="18.75">
      <c r="A26" s="110" t="s">
        <v>347</v>
      </c>
      <c r="B26" s="111" t="s">
        <v>158</v>
      </c>
      <c r="C26" s="28">
        <v>2941003314</v>
      </c>
      <c r="D26" s="64"/>
      <c r="E26" s="64"/>
      <c r="F26" s="104">
        <v>0</v>
      </c>
    </row>
    <row r="27" spans="1:6" ht="18.75">
      <c r="A27" s="110" t="s">
        <v>346</v>
      </c>
      <c r="B27" s="111" t="s">
        <v>158</v>
      </c>
      <c r="C27" s="28">
        <v>2941003357</v>
      </c>
      <c r="D27" s="64"/>
      <c r="E27" s="64"/>
      <c r="F27" s="104">
        <v>0</v>
      </c>
    </row>
    <row r="28" spans="1:6" ht="18.75">
      <c r="A28" s="110" t="s">
        <v>346</v>
      </c>
      <c r="B28" s="111" t="s">
        <v>158</v>
      </c>
      <c r="C28" s="28">
        <v>2942307767</v>
      </c>
      <c r="D28" s="64"/>
      <c r="E28" s="64"/>
      <c r="F28" s="104">
        <v>4359.380000000354</v>
      </c>
    </row>
    <row r="29" spans="1:6" ht="18.75">
      <c r="A29" s="110" t="s">
        <v>540</v>
      </c>
      <c r="B29" s="111" t="s">
        <v>158</v>
      </c>
      <c r="C29" s="28">
        <v>2942307775</v>
      </c>
      <c r="D29" s="64"/>
      <c r="E29" s="64"/>
      <c r="F29" s="104">
        <v>749.58</v>
      </c>
    </row>
    <row r="30" spans="1:6" ht="18.75">
      <c r="A30" s="110" t="s">
        <v>161</v>
      </c>
      <c r="B30" s="111" t="s">
        <v>158</v>
      </c>
      <c r="C30" s="28">
        <v>2942307783</v>
      </c>
      <c r="D30" s="64"/>
      <c r="E30" s="64"/>
      <c r="F30" s="104">
        <v>4053.2299999994416</v>
      </c>
    </row>
    <row r="31" spans="1:6" ht="18.75">
      <c r="A31" s="110" t="s">
        <v>541</v>
      </c>
      <c r="B31" s="111" t="s">
        <v>158</v>
      </c>
      <c r="C31" s="294">
        <v>2942307791</v>
      </c>
      <c r="D31" s="293"/>
      <c r="E31" s="64"/>
      <c r="F31" s="104">
        <v>798.82</v>
      </c>
    </row>
    <row r="32" spans="1:6" ht="18.75">
      <c r="A32" s="110" t="s">
        <v>542</v>
      </c>
      <c r="B32" s="111" t="s">
        <v>158</v>
      </c>
      <c r="C32" s="28">
        <v>2942307805</v>
      </c>
      <c r="D32" s="64"/>
      <c r="E32" s="64"/>
      <c r="F32" s="104">
        <v>1963.7999999999997</v>
      </c>
    </row>
    <row r="33" spans="1:6" ht="18.75">
      <c r="A33" s="110" t="s">
        <v>543</v>
      </c>
      <c r="B33" s="111" t="s">
        <v>158</v>
      </c>
      <c r="C33" s="37">
        <v>2942307813</v>
      </c>
      <c r="D33" s="64"/>
      <c r="E33" s="64"/>
      <c r="F33" s="104">
        <v>713241.7699999999</v>
      </c>
    </row>
    <row r="34" spans="1:6" ht="18.75">
      <c r="A34" s="110" t="s">
        <v>544</v>
      </c>
      <c r="B34" s="111" t="s">
        <v>158</v>
      </c>
      <c r="C34" s="37">
        <v>2942307821</v>
      </c>
      <c r="D34" s="64"/>
      <c r="E34" s="64"/>
      <c r="F34" s="104">
        <v>0.6</v>
      </c>
    </row>
    <row r="35" spans="1:6" ht="18.75">
      <c r="A35" s="110" t="s">
        <v>347</v>
      </c>
      <c r="B35" s="111" t="s">
        <v>158</v>
      </c>
      <c r="C35" s="37">
        <v>2942307848</v>
      </c>
      <c r="D35" s="64"/>
      <c r="E35" s="64"/>
      <c r="F35" s="104">
        <v>13008.16000000044</v>
      </c>
    </row>
    <row r="36" spans="1:6" ht="18.75">
      <c r="A36" s="110" t="s">
        <v>545</v>
      </c>
      <c r="B36" s="111" t="s">
        <v>158</v>
      </c>
      <c r="C36" s="37">
        <v>2942307856</v>
      </c>
      <c r="D36" s="64"/>
      <c r="E36" s="64"/>
      <c r="F36" s="104">
        <v>0</v>
      </c>
    </row>
    <row r="37" spans="1:6" ht="18.75">
      <c r="A37" s="110" t="s">
        <v>546</v>
      </c>
      <c r="B37" s="111" t="s">
        <v>158</v>
      </c>
      <c r="C37" s="28">
        <v>2942307864</v>
      </c>
      <c r="D37" s="64"/>
      <c r="E37" s="64"/>
      <c r="F37" s="104">
        <v>60335.46</v>
      </c>
    </row>
    <row r="38" spans="1:6" ht="18.75">
      <c r="A38" s="110" t="s">
        <v>547</v>
      </c>
      <c r="B38" s="111" t="s">
        <v>158</v>
      </c>
      <c r="C38" s="28">
        <v>2942307872</v>
      </c>
      <c r="D38" s="64"/>
      <c r="E38" s="64"/>
      <c r="F38" s="104">
        <v>0</v>
      </c>
    </row>
    <row r="39" spans="1:6" ht="18.75">
      <c r="A39" s="110" t="s">
        <v>548</v>
      </c>
      <c r="B39" s="111" t="s">
        <v>158</v>
      </c>
      <c r="C39" s="28">
        <v>2942307880</v>
      </c>
      <c r="D39" s="64"/>
      <c r="E39" s="64"/>
      <c r="F39" s="104">
        <v>30837.869999999864</v>
      </c>
    </row>
    <row r="40" spans="1:6" ht="18.75">
      <c r="A40" s="110" t="s">
        <v>549</v>
      </c>
      <c r="B40" s="111" t="s">
        <v>158</v>
      </c>
      <c r="C40" s="28">
        <v>2942307899</v>
      </c>
      <c r="D40" s="64"/>
      <c r="E40" s="64"/>
      <c r="F40" s="104">
        <v>0</v>
      </c>
    </row>
    <row r="41" spans="1:6" ht="18.75">
      <c r="A41" s="312" t="s">
        <v>550</v>
      </c>
      <c r="B41" s="313" t="s">
        <v>158</v>
      </c>
      <c r="C41" s="314">
        <v>2942307902</v>
      </c>
      <c r="D41" s="315"/>
      <c r="E41" s="315"/>
      <c r="F41" s="311">
        <v>44289.259999999995</v>
      </c>
    </row>
    <row r="42" spans="1:6" ht="18.75">
      <c r="A42" s="110" t="s">
        <v>551</v>
      </c>
      <c r="B42" s="111" t="s">
        <v>158</v>
      </c>
      <c r="C42" s="28">
        <v>2942307910</v>
      </c>
      <c r="D42" s="64"/>
      <c r="E42" s="64"/>
      <c r="F42" s="104">
        <v>0</v>
      </c>
    </row>
    <row r="43" spans="1:6" ht="18.75">
      <c r="A43" s="110" t="s">
        <v>552</v>
      </c>
      <c r="B43" s="111" t="s">
        <v>158</v>
      </c>
      <c r="C43" s="28">
        <v>2942307929</v>
      </c>
      <c r="D43" s="64"/>
      <c r="E43" s="64"/>
      <c r="F43" s="104">
        <v>71.00999999999999</v>
      </c>
    </row>
    <row r="44" spans="1:6" ht="18.75">
      <c r="A44" s="110" t="s">
        <v>553</v>
      </c>
      <c r="B44" s="111" t="s">
        <v>158</v>
      </c>
      <c r="C44" s="28">
        <v>2942307937</v>
      </c>
      <c r="D44" s="64"/>
      <c r="E44" s="64"/>
      <c r="F44" s="104">
        <v>269368.8900000001</v>
      </c>
    </row>
    <row r="45" spans="1:6" ht="18.75">
      <c r="A45" s="110" t="s">
        <v>554</v>
      </c>
      <c r="B45" s="111" t="s">
        <v>158</v>
      </c>
      <c r="C45" s="28">
        <v>2942307945</v>
      </c>
      <c r="D45" s="64"/>
      <c r="E45" s="64"/>
      <c r="F45" s="104">
        <v>118967.51</v>
      </c>
    </row>
    <row r="46" spans="1:6" ht="18.75">
      <c r="A46" s="110" t="s">
        <v>555</v>
      </c>
      <c r="B46" s="111" t="s">
        <v>158</v>
      </c>
      <c r="C46" s="28">
        <v>2942307953</v>
      </c>
      <c r="D46" s="64"/>
      <c r="E46" s="64"/>
      <c r="F46" s="104">
        <v>0</v>
      </c>
    </row>
    <row r="47" spans="1:6" ht="18.75">
      <c r="A47" s="110" t="s">
        <v>556</v>
      </c>
      <c r="B47" s="111" t="s">
        <v>158</v>
      </c>
      <c r="C47" s="28">
        <v>2942307961</v>
      </c>
      <c r="D47" s="64"/>
      <c r="E47" s="64"/>
      <c r="F47" s="104">
        <v>0.18</v>
      </c>
    </row>
    <row r="48" spans="1:6" ht="18.75">
      <c r="A48" s="110" t="s">
        <v>557</v>
      </c>
      <c r="B48" s="111" t="s">
        <v>158</v>
      </c>
      <c r="C48" s="28">
        <v>2942307988</v>
      </c>
      <c r="D48" s="64"/>
      <c r="E48" s="64"/>
      <c r="F48" s="104">
        <v>536868.0499999997</v>
      </c>
    </row>
    <row r="49" spans="1:6" ht="18.75">
      <c r="A49" s="110"/>
      <c r="B49" s="111"/>
      <c r="C49" s="112"/>
      <c r="D49" s="64"/>
      <c r="E49" s="64"/>
      <c r="F49" s="104"/>
    </row>
    <row r="50" spans="1:6" ht="18.75">
      <c r="A50" s="110"/>
      <c r="B50" s="111"/>
      <c r="C50" s="112"/>
      <c r="D50" s="64"/>
      <c r="E50" s="64"/>
      <c r="F50" s="104"/>
    </row>
    <row r="51" spans="1:6" s="70" customFormat="1" ht="18.75">
      <c r="A51" s="330" t="s">
        <v>559</v>
      </c>
      <c r="B51" s="330"/>
      <c r="C51" s="330"/>
      <c r="D51" s="66">
        <f>SUM(D9:D39)</f>
        <v>1949208.98</v>
      </c>
      <c r="E51" s="130">
        <f>SUM(E9:E39)</f>
        <v>9436199.8</v>
      </c>
      <c r="F51" s="66">
        <f>SUM(F9:F50)</f>
        <v>3234161.1899999995</v>
      </c>
    </row>
    <row r="52" ht="18.75">
      <c r="F52" s="128"/>
    </row>
    <row r="53" ht="18.75">
      <c r="F53" s="128"/>
    </row>
    <row r="54" ht="18.75">
      <c r="F54" s="128"/>
    </row>
  </sheetData>
  <sheetProtection/>
  <mergeCells count="4">
    <mergeCell ref="A51:C51"/>
    <mergeCell ref="A1:F1"/>
    <mergeCell ref="A2:F2"/>
    <mergeCell ref="A3:F3"/>
  </mergeCells>
  <printOptions/>
  <pageMargins left="0.92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8"/>
  <sheetViews>
    <sheetView view="pageBreakPreview" zoomScaleSheetLayoutView="100" zoomScalePageLayoutView="0" workbookViewId="0" topLeftCell="A4">
      <selection activeCell="K22" sqref="K22"/>
    </sheetView>
  </sheetViews>
  <sheetFormatPr defaultColWidth="11.00390625" defaultRowHeight="15"/>
  <cols>
    <col min="1" max="1" width="39.421875" style="67" customWidth="1"/>
    <col min="2" max="2" width="11.00390625" style="69" customWidth="1"/>
    <col min="3" max="3" width="15.421875" style="69" customWidth="1"/>
    <col min="4" max="4" width="13.140625" style="69" hidden="1" customWidth="1"/>
    <col min="5" max="5" width="14.421875" style="69" hidden="1" customWidth="1"/>
    <col min="6" max="6" width="17.28125" style="70" customWidth="1"/>
    <col min="7" max="7" width="11.7109375" style="67" bestFit="1" customWidth="1"/>
    <col min="8" max="9" width="12.57421875" style="67" bestFit="1" customWidth="1"/>
    <col min="10" max="16384" width="11.00390625" style="67" customWidth="1"/>
  </cols>
  <sheetData>
    <row r="1" spans="1:6" ht="18.75">
      <c r="A1" s="335" t="s">
        <v>348</v>
      </c>
      <c r="B1" s="335"/>
      <c r="C1" s="335"/>
      <c r="D1" s="335"/>
      <c r="E1" s="335"/>
      <c r="F1" s="335"/>
    </row>
    <row r="2" spans="1:6" ht="18.75">
      <c r="A2" s="335" t="s">
        <v>99</v>
      </c>
      <c r="B2" s="335"/>
      <c r="C2" s="335"/>
      <c r="D2" s="335"/>
      <c r="E2" s="335"/>
      <c r="F2" s="335"/>
    </row>
    <row r="3" spans="1:6" ht="18.75">
      <c r="A3" s="335" t="s">
        <v>497</v>
      </c>
      <c r="B3" s="335"/>
      <c r="C3" s="335"/>
      <c r="D3" s="335"/>
      <c r="E3" s="335"/>
      <c r="F3" s="335"/>
    </row>
    <row r="4" spans="1:6" ht="18.75">
      <c r="A4" s="105"/>
      <c r="B4" s="105"/>
      <c r="C4" s="105"/>
      <c r="D4" s="105"/>
      <c r="E4" s="105"/>
      <c r="F4" s="105"/>
    </row>
    <row r="5" ht="18.75">
      <c r="A5" s="68" t="s">
        <v>490</v>
      </c>
    </row>
    <row r="6" spans="1:6" ht="18.75">
      <c r="A6" s="95" t="s">
        <v>102</v>
      </c>
      <c r="B6" s="96"/>
      <c r="C6" s="97"/>
      <c r="D6" s="97"/>
      <c r="E6" s="97"/>
      <c r="F6" s="98" t="s">
        <v>58</v>
      </c>
    </row>
    <row r="7" spans="1:6" s="69" customFormat="1" ht="18.75">
      <c r="A7" s="132" t="s">
        <v>155</v>
      </c>
      <c r="B7" s="132" t="s">
        <v>156</v>
      </c>
      <c r="C7" s="132" t="s">
        <v>157</v>
      </c>
      <c r="D7" s="132" t="s">
        <v>56</v>
      </c>
      <c r="E7" s="132" t="s">
        <v>57</v>
      </c>
      <c r="F7" s="18" t="s">
        <v>340</v>
      </c>
    </row>
    <row r="8" spans="1:6" s="43" customFormat="1" ht="18.75">
      <c r="A8" s="120" t="s">
        <v>523</v>
      </c>
      <c r="B8" s="103"/>
      <c r="C8" s="103"/>
      <c r="D8" s="103"/>
      <c r="E8" s="103"/>
      <c r="F8" s="104"/>
    </row>
    <row r="9" spans="1:6" s="43" customFormat="1" ht="18.75">
      <c r="A9" s="110" t="s">
        <v>520</v>
      </c>
      <c r="B9" s="64">
        <v>0</v>
      </c>
      <c r="C9" s="64">
        <v>0</v>
      </c>
      <c r="D9" s="64">
        <v>0</v>
      </c>
      <c r="E9" s="64">
        <v>5181138.43</v>
      </c>
      <c r="F9" s="104">
        <v>10303064.7</v>
      </c>
    </row>
    <row r="10" spans="1:6" s="43" customFormat="1" ht="18.75">
      <c r="A10" s="110" t="s">
        <v>519</v>
      </c>
      <c r="B10" s="64">
        <v>0</v>
      </c>
      <c r="C10" s="64">
        <v>0</v>
      </c>
      <c r="D10" s="64">
        <v>0</v>
      </c>
      <c r="E10" s="64">
        <v>5477035.15</v>
      </c>
      <c r="F10" s="104">
        <v>8427838</v>
      </c>
    </row>
    <row r="11" spans="1:6" s="43" customFormat="1" ht="18.75">
      <c r="A11" s="110" t="s">
        <v>521</v>
      </c>
      <c r="B11" s="64">
        <v>0</v>
      </c>
      <c r="C11" s="64">
        <v>0</v>
      </c>
      <c r="D11" s="64">
        <v>0</v>
      </c>
      <c r="E11" s="64">
        <v>66183.45</v>
      </c>
      <c r="F11" s="104">
        <v>6286921.92</v>
      </c>
    </row>
    <row r="12" spans="1:6" s="43" customFormat="1" ht="18.75">
      <c r="A12" s="110" t="s">
        <v>562</v>
      </c>
      <c r="B12" s="64">
        <v>0</v>
      </c>
      <c r="C12" s="64">
        <v>0</v>
      </c>
      <c r="D12" s="64">
        <v>0</v>
      </c>
      <c r="E12" s="64">
        <v>37271.28</v>
      </c>
      <c r="F12" s="104">
        <v>911461.98</v>
      </c>
    </row>
    <row r="13" spans="1:6" s="43" customFormat="1" ht="18.75">
      <c r="A13" s="110" t="s">
        <v>522</v>
      </c>
      <c r="B13" s="64">
        <v>0</v>
      </c>
      <c r="C13" s="64">
        <v>0</v>
      </c>
      <c r="D13" s="64">
        <v>0</v>
      </c>
      <c r="E13" s="64">
        <v>37271.28</v>
      </c>
      <c r="F13" s="104">
        <v>1473060</v>
      </c>
    </row>
    <row r="14" spans="2:6" s="43" customFormat="1" ht="18.75">
      <c r="B14" s="114"/>
      <c r="C14" s="114"/>
      <c r="D14" s="64">
        <v>0</v>
      </c>
      <c r="E14" s="64">
        <v>26539.38</v>
      </c>
      <c r="F14" s="117"/>
    </row>
    <row r="15" spans="2:6" s="43" customFormat="1" ht="18.75">
      <c r="B15" s="114"/>
      <c r="C15" s="64"/>
      <c r="D15" s="64">
        <v>0</v>
      </c>
      <c r="E15" s="64">
        <v>47337.86</v>
      </c>
      <c r="F15" s="117"/>
    </row>
    <row r="16" spans="1:6" s="43" customFormat="1" ht="18.75">
      <c r="A16" s="110"/>
      <c r="B16" s="114"/>
      <c r="C16" s="64"/>
      <c r="D16" s="64">
        <v>0</v>
      </c>
      <c r="E16" s="64">
        <v>33443847.73</v>
      </c>
      <c r="F16" s="104"/>
    </row>
    <row r="17" spans="1:6" s="43" customFormat="1" ht="18.75">
      <c r="A17" s="110"/>
      <c r="B17" s="114"/>
      <c r="C17" s="64"/>
      <c r="D17" s="64">
        <v>0</v>
      </c>
      <c r="E17" s="64">
        <v>6571123.01</v>
      </c>
      <c r="F17" s="104"/>
    </row>
    <row r="18" spans="1:6" s="43" customFormat="1" ht="18.75">
      <c r="A18" s="110"/>
      <c r="B18" s="114"/>
      <c r="C18" s="64"/>
      <c r="D18" s="64"/>
      <c r="E18" s="64"/>
      <c r="F18" s="311"/>
    </row>
    <row r="19" spans="1:6" s="70" customFormat="1" ht="18.75">
      <c r="A19" s="132" t="s">
        <v>372</v>
      </c>
      <c r="B19" s="132"/>
      <c r="C19" s="18"/>
      <c r="D19" s="18">
        <f>SUM(D11:D17)</f>
        <v>0</v>
      </c>
      <c r="E19" s="18">
        <f>SUM(E9:E17)</f>
        <v>50887747.57</v>
      </c>
      <c r="F19" s="18">
        <f>SUM(F9:F18)</f>
        <v>27402346.599999998</v>
      </c>
    </row>
    <row r="20" spans="1:6" s="70" customFormat="1" ht="18.75">
      <c r="A20" s="71"/>
      <c r="B20" s="71"/>
      <c r="C20" s="97"/>
      <c r="D20" s="97"/>
      <c r="E20" s="97"/>
      <c r="F20" s="97"/>
    </row>
    <row r="21" spans="1:6" ht="18.75">
      <c r="A21" s="43"/>
      <c r="B21" s="44"/>
      <c r="C21" s="44"/>
      <c r="D21" s="44"/>
      <c r="E21" s="44"/>
      <c r="F21" s="17"/>
    </row>
    <row r="22" ht="18.75">
      <c r="A22" s="68" t="s">
        <v>491</v>
      </c>
    </row>
    <row r="23" spans="1:6" ht="18.75">
      <c r="A23" s="95" t="s">
        <v>102</v>
      </c>
      <c r="B23" s="96"/>
      <c r="C23" s="97"/>
      <c r="D23" s="97"/>
      <c r="E23" s="97"/>
      <c r="F23" s="98" t="s">
        <v>58</v>
      </c>
    </row>
    <row r="24" spans="1:6" s="69" customFormat="1" ht="18.75">
      <c r="A24" s="132" t="s">
        <v>155</v>
      </c>
      <c r="B24" s="132" t="s">
        <v>156</v>
      </c>
      <c r="C24" s="132" t="s">
        <v>157</v>
      </c>
      <c r="D24" s="132" t="s">
        <v>56</v>
      </c>
      <c r="E24" s="132" t="s">
        <v>57</v>
      </c>
      <c r="F24" s="18" t="s">
        <v>340</v>
      </c>
    </row>
    <row r="25" spans="1:6" s="109" customFormat="1" ht="18.75">
      <c r="A25" s="121" t="s">
        <v>295</v>
      </c>
      <c r="B25" s="103"/>
      <c r="C25" s="103"/>
      <c r="D25" s="103"/>
      <c r="E25" s="103"/>
      <c r="F25" s="104"/>
    </row>
    <row r="26" spans="1:6" ht="18.75">
      <c r="A26" s="110"/>
      <c r="B26" s="111"/>
      <c r="C26" s="112"/>
      <c r="D26" s="112"/>
      <c r="E26" s="64"/>
      <c r="F26" s="104"/>
    </row>
    <row r="27" spans="1:6" ht="18.75">
      <c r="A27" s="110"/>
      <c r="B27" s="111"/>
      <c r="C27" s="112"/>
      <c r="D27" s="112"/>
      <c r="E27" s="64"/>
      <c r="F27" s="104"/>
    </row>
    <row r="28" spans="1:6" ht="18.75">
      <c r="A28" s="110"/>
      <c r="B28" s="111"/>
      <c r="C28" s="112"/>
      <c r="D28" s="64"/>
      <c r="E28" s="113"/>
      <c r="F28" s="104"/>
    </row>
    <row r="29" spans="1:6" ht="18.75">
      <c r="A29" s="110"/>
      <c r="B29" s="111"/>
      <c r="C29" s="112"/>
      <c r="D29" s="64"/>
      <c r="E29" s="113"/>
      <c r="F29" s="104"/>
    </row>
    <row r="30" spans="1:6" s="70" customFormat="1" ht="18.75">
      <c r="A30" s="332" t="s">
        <v>373</v>
      </c>
      <c r="B30" s="333"/>
      <c r="C30" s="336"/>
      <c r="D30" s="18">
        <f>SUM(D26:D29)</f>
        <v>0</v>
      </c>
      <c r="E30" s="18">
        <f>SUM(E26:E29)</f>
        <v>0</v>
      </c>
      <c r="F30" s="18">
        <f>SUM(F26:F29)</f>
        <v>0</v>
      </c>
    </row>
    <row r="33" ht="18.75">
      <c r="A33" s="68" t="s">
        <v>492</v>
      </c>
    </row>
    <row r="34" spans="1:6" ht="18.75">
      <c r="A34" s="95" t="s">
        <v>102</v>
      </c>
      <c r="B34" s="96"/>
      <c r="C34" s="97"/>
      <c r="D34" s="97"/>
      <c r="E34" s="97"/>
      <c r="F34" s="98" t="s">
        <v>58</v>
      </c>
    </row>
    <row r="35" spans="1:6" s="69" customFormat="1" ht="18.75">
      <c r="A35" s="132" t="s">
        <v>155</v>
      </c>
      <c r="B35" s="132" t="s">
        <v>156</v>
      </c>
      <c r="C35" s="132" t="s">
        <v>157</v>
      </c>
      <c r="D35" s="132" t="s">
        <v>56</v>
      </c>
      <c r="E35" s="132" t="s">
        <v>57</v>
      </c>
      <c r="F35" s="18" t="s">
        <v>340</v>
      </c>
    </row>
    <row r="36" spans="1:6" s="109" customFormat="1" ht="18.75">
      <c r="A36" s="120" t="s">
        <v>295</v>
      </c>
      <c r="B36" s="103"/>
      <c r="C36" s="103"/>
      <c r="D36" s="103"/>
      <c r="E36" s="103"/>
      <c r="F36" s="104"/>
    </row>
    <row r="37" spans="1:6" ht="18.75">
      <c r="A37" s="110"/>
      <c r="B37" s="111"/>
      <c r="C37" s="112"/>
      <c r="D37" s="112"/>
      <c r="E37" s="64">
        <v>5936065.29</v>
      </c>
      <c r="F37" s="104"/>
    </row>
    <row r="38" spans="1:6" s="70" customFormat="1" ht="18.75">
      <c r="A38" s="332" t="s">
        <v>373</v>
      </c>
      <c r="B38" s="333"/>
      <c r="C38" s="336"/>
      <c r="D38" s="18">
        <f>SUM(D37:D37)</f>
        <v>0</v>
      </c>
      <c r="E38" s="18">
        <f>SUM(E37:E37)</f>
        <v>5936065.29</v>
      </c>
      <c r="F38" s="18">
        <f>SUM(F37:F37)</f>
        <v>0</v>
      </c>
    </row>
  </sheetData>
  <sheetProtection/>
  <mergeCells count="5">
    <mergeCell ref="A30:C30"/>
    <mergeCell ref="A38:C38"/>
    <mergeCell ref="A1:F1"/>
    <mergeCell ref="A2:F2"/>
    <mergeCell ref="A3:F3"/>
  </mergeCells>
  <printOptions/>
  <pageMargins left="0.92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26"/>
  <sheetViews>
    <sheetView zoomScalePageLayoutView="0" workbookViewId="0" topLeftCell="A4">
      <selection activeCell="I13" sqref="I13"/>
    </sheetView>
  </sheetViews>
  <sheetFormatPr defaultColWidth="11.00390625" defaultRowHeight="15"/>
  <cols>
    <col min="1" max="1" width="49.140625" style="67" customWidth="1"/>
    <col min="2" max="2" width="17.140625" style="69" customWidth="1"/>
    <col min="3" max="3" width="17.140625" style="70" customWidth="1"/>
    <col min="4" max="4" width="14.57421875" style="67" customWidth="1"/>
    <col min="5" max="5" width="11.7109375" style="67" bestFit="1" customWidth="1"/>
    <col min="6" max="16384" width="11.00390625" style="67" customWidth="1"/>
  </cols>
  <sheetData>
    <row r="1" spans="1:2" ht="18.75">
      <c r="A1" s="70" t="s">
        <v>348</v>
      </c>
      <c r="B1" s="70"/>
    </row>
    <row r="2" spans="1:2" ht="18.75">
      <c r="A2" s="70" t="s">
        <v>99</v>
      </c>
      <c r="B2" s="70"/>
    </row>
    <row r="3" spans="1:2" ht="18.75">
      <c r="A3" s="70" t="s">
        <v>497</v>
      </c>
      <c r="B3" s="70"/>
    </row>
    <row r="4" spans="1:3" ht="18.75">
      <c r="A4" s="105"/>
      <c r="B4" s="105"/>
      <c r="C4" s="105"/>
    </row>
    <row r="5" ht="18.75">
      <c r="A5" s="68" t="s">
        <v>485</v>
      </c>
    </row>
    <row r="6" spans="1:3" ht="18.75">
      <c r="A6" s="95"/>
      <c r="B6" s="97"/>
      <c r="C6" s="98"/>
    </row>
    <row r="7" spans="1:4" s="69" customFormat="1" ht="18.75">
      <c r="A7" s="132" t="s">
        <v>2</v>
      </c>
      <c r="B7" s="132" t="s">
        <v>56</v>
      </c>
      <c r="C7" s="18" t="s">
        <v>57</v>
      </c>
      <c r="D7" s="132" t="s">
        <v>101</v>
      </c>
    </row>
    <row r="8" spans="1:4" s="109" customFormat="1" ht="18.75">
      <c r="A8" s="110" t="s">
        <v>503</v>
      </c>
      <c r="B8" s="64">
        <v>0</v>
      </c>
      <c r="C8" s="64">
        <v>20000</v>
      </c>
      <c r="D8" s="291">
        <f>SUM(B8:C8)</f>
        <v>20000</v>
      </c>
    </row>
    <row r="9" spans="1:4" s="109" customFormat="1" ht="18.75">
      <c r="A9" s="110" t="s">
        <v>518</v>
      </c>
      <c r="B9" s="64">
        <v>0</v>
      </c>
      <c r="C9" s="64">
        <v>10000000</v>
      </c>
      <c r="D9" s="291">
        <f aca="true" t="shared" si="0" ref="D9:D25">SUM(B9:C9)</f>
        <v>10000000</v>
      </c>
    </row>
    <row r="10" spans="1:4" s="109" customFormat="1" ht="18.75">
      <c r="A10" s="110" t="s">
        <v>504</v>
      </c>
      <c r="B10" s="64">
        <v>0</v>
      </c>
      <c r="C10" s="64">
        <v>4248750</v>
      </c>
      <c r="D10" s="291">
        <f t="shared" si="0"/>
        <v>4248750</v>
      </c>
    </row>
    <row r="11" spans="1:4" s="109" customFormat="1" ht="18.75">
      <c r="A11" s="110" t="s">
        <v>505</v>
      </c>
      <c r="B11" s="64">
        <v>0</v>
      </c>
      <c r="C11" s="64">
        <v>500000</v>
      </c>
      <c r="D11" s="291">
        <f t="shared" si="0"/>
        <v>500000</v>
      </c>
    </row>
    <row r="12" spans="1:4" s="109" customFormat="1" ht="18.75">
      <c r="A12" s="110" t="s">
        <v>506</v>
      </c>
      <c r="B12" s="64">
        <v>0</v>
      </c>
      <c r="C12" s="64">
        <v>201600</v>
      </c>
      <c r="D12" s="291">
        <f t="shared" si="0"/>
        <v>201600</v>
      </c>
    </row>
    <row r="13" spans="1:4" s="109" customFormat="1" ht="18.75">
      <c r="A13" s="110" t="s">
        <v>507</v>
      </c>
      <c r="B13" s="64">
        <v>0</v>
      </c>
      <c r="C13" s="64">
        <v>40000</v>
      </c>
      <c r="D13" s="291">
        <f t="shared" si="0"/>
        <v>40000</v>
      </c>
    </row>
    <row r="14" spans="1:4" s="109" customFormat="1" ht="18.75">
      <c r="A14" s="110" t="s">
        <v>508</v>
      </c>
      <c r="B14" s="64">
        <v>0</v>
      </c>
      <c r="C14" s="64">
        <v>33900</v>
      </c>
      <c r="D14" s="291">
        <f t="shared" si="0"/>
        <v>33900</v>
      </c>
    </row>
    <row r="15" spans="1:4" s="109" customFormat="1" ht="18.75">
      <c r="A15" s="110" t="s">
        <v>509</v>
      </c>
      <c r="B15" s="64">
        <v>0</v>
      </c>
      <c r="C15" s="64">
        <v>89400</v>
      </c>
      <c r="D15" s="291">
        <f t="shared" si="0"/>
        <v>89400</v>
      </c>
    </row>
    <row r="16" spans="1:4" ht="18.75">
      <c r="A16" s="110" t="s">
        <v>510</v>
      </c>
      <c r="B16" s="64">
        <v>0</v>
      </c>
      <c r="C16" s="64">
        <v>10220</v>
      </c>
      <c r="D16" s="291">
        <f t="shared" si="0"/>
        <v>10220</v>
      </c>
    </row>
    <row r="17" spans="1:4" ht="18.75">
      <c r="A17" s="110" t="s">
        <v>511</v>
      </c>
      <c r="B17" s="64">
        <v>0</v>
      </c>
      <c r="C17" s="64">
        <v>28200</v>
      </c>
      <c r="D17" s="291">
        <f t="shared" si="0"/>
        <v>28200</v>
      </c>
    </row>
    <row r="18" spans="1:4" ht="18.75">
      <c r="A18" s="110" t="s">
        <v>512</v>
      </c>
      <c r="B18" s="64">
        <v>0</v>
      </c>
      <c r="C18" s="64">
        <v>402000</v>
      </c>
      <c r="D18" s="291">
        <f t="shared" si="0"/>
        <v>402000</v>
      </c>
    </row>
    <row r="19" spans="1:4" ht="18.75">
      <c r="A19" s="110" t="s">
        <v>513</v>
      </c>
      <c r="B19" s="64">
        <v>0</v>
      </c>
      <c r="C19" s="64">
        <v>10000</v>
      </c>
      <c r="D19" s="291">
        <f t="shared" si="0"/>
        <v>10000</v>
      </c>
    </row>
    <row r="20" spans="1:4" ht="18.75">
      <c r="A20" s="110" t="s">
        <v>514</v>
      </c>
      <c r="B20" s="64">
        <v>0</v>
      </c>
      <c r="C20" s="64">
        <v>202688</v>
      </c>
      <c r="D20" s="291">
        <f t="shared" si="0"/>
        <v>202688</v>
      </c>
    </row>
    <row r="21" spans="1:5" ht="18.75">
      <c r="A21" s="110" t="s">
        <v>515</v>
      </c>
      <c r="B21" s="64">
        <v>663221.67</v>
      </c>
      <c r="C21" s="64">
        <v>0</v>
      </c>
      <c r="D21" s="291">
        <f t="shared" si="0"/>
        <v>663221.67</v>
      </c>
      <c r="E21" s="67" t="s">
        <v>442</v>
      </c>
    </row>
    <row r="22" spans="1:4" ht="18.75">
      <c r="A22" s="110" t="s">
        <v>516</v>
      </c>
      <c r="B22" s="64">
        <v>0</v>
      </c>
      <c r="C22" s="64">
        <v>18300</v>
      </c>
      <c r="D22" s="291">
        <f t="shared" si="0"/>
        <v>18300</v>
      </c>
    </row>
    <row r="23" spans="1:4" ht="18.75">
      <c r="A23" s="110" t="s">
        <v>517</v>
      </c>
      <c r="B23" s="64">
        <v>0</v>
      </c>
      <c r="C23" s="64">
        <v>188000</v>
      </c>
      <c r="D23" s="291">
        <f t="shared" si="0"/>
        <v>188000</v>
      </c>
    </row>
    <row r="24" spans="1:4" ht="18.75">
      <c r="A24" s="110" t="s">
        <v>512</v>
      </c>
      <c r="B24" s="64">
        <v>0</v>
      </c>
      <c r="C24" s="64">
        <v>321600</v>
      </c>
      <c r="D24" s="291">
        <f t="shared" si="0"/>
        <v>321600</v>
      </c>
    </row>
    <row r="25" spans="1:4" ht="18.75">
      <c r="A25" s="110"/>
      <c r="B25" s="64">
        <v>0</v>
      </c>
      <c r="C25" s="104">
        <v>0</v>
      </c>
      <c r="D25" s="291">
        <f t="shared" si="0"/>
        <v>0</v>
      </c>
    </row>
    <row r="26" spans="1:4" s="70" customFormat="1" ht="18.75">
      <c r="A26" s="133" t="s">
        <v>502</v>
      </c>
      <c r="B26" s="18">
        <f>SUM(B8:B25)</f>
        <v>663221.67</v>
      </c>
      <c r="C26" s="18">
        <f>SUM(C8:C25)</f>
        <v>16314658</v>
      </c>
      <c r="D26" s="18">
        <f>SUM(D8:D25)</f>
        <v>16977879.67</v>
      </c>
    </row>
  </sheetData>
  <sheetProtection/>
  <printOptions/>
  <pageMargins left="0.9055118110236221" right="0.51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00390625" style="21" customWidth="1"/>
    <col min="2" max="2" width="4.00390625" style="21" customWidth="1"/>
    <col min="3" max="5" width="9.00390625" style="21" customWidth="1"/>
    <col min="6" max="7" width="12.57421875" style="21" bestFit="1" customWidth="1"/>
    <col min="8" max="8" width="3.57421875" style="21" bestFit="1" customWidth="1"/>
    <col min="9" max="9" width="17.28125" style="21" customWidth="1"/>
    <col min="10" max="16384" width="9.00390625" style="21" customWidth="1"/>
  </cols>
  <sheetData>
    <row r="1" spans="1:10" ht="18.75">
      <c r="A1" s="323" t="s">
        <v>162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8.75">
      <c r="A2" s="324" t="s">
        <v>99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8.75">
      <c r="A3" s="325" t="s">
        <v>100</v>
      </c>
      <c r="B3" s="325"/>
      <c r="C3" s="325"/>
      <c r="D3" s="325"/>
      <c r="E3" s="325"/>
      <c r="F3" s="325"/>
      <c r="G3" s="325"/>
      <c r="H3" s="325"/>
      <c r="I3" s="325"/>
      <c r="J3" s="325"/>
    </row>
    <row r="5" spans="1:5" ht="18.75">
      <c r="A5" s="327" t="s">
        <v>196</v>
      </c>
      <c r="B5" s="327"/>
      <c r="C5" s="327"/>
      <c r="D5" s="327"/>
      <c r="E5" s="327"/>
    </row>
    <row r="6" ht="18.75">
      <c r="B6" s="21" t="s">
        <v>197</v>
      </c>
    </row>
    <row r="7" ht="18.75">
      <c r="A7" s="21" t="s">
        <v>198</v>
      </c>
    </row>
    <row r="8" ht="18.75">
      <c r="A8" s="21" t="s">
        <v>199</v>
      </c>
    </row>
    <row r="9" ht="18.75">
      <c r="B9" s="21" t="s">
        <v>200</v>
      </c>
    </row>
    <row r="10" spans="2:8" ht="18.75">
      <c r="B10" s="21" t="s">
        <v>201</v>
      </c>
      <c r="G10" s="22">
        <v>110000000</v>
      </c>
      <c r="H10" s="21" t="s">
        <v>202</v>
      </c>
    </row>
    <row r="11" ht="18.75">
      <c r="B11" s="21" t="s">
        <v>203</v>
      </c>
    </row>
    <row r="12" spans="3:6" ht="18.75">
      <c r="C12" s="21" t="s">
        <v>204</v>
      </c>
      <c r="F12" s="22">
        <v>11000000</v>
      </c>
    </row>
    <row r="13" spans="3:8" ht="18.75">
      <c r="C13" s="21" t="s">
        <v>205</v>
      </c>
      <c r="F13" s="22">
        <v>751624.7</v>
      </c>
      <c r="G13" s="34">
        <v>11751624.7</v>
      </c>
      <c r="H13" s="21" t="s">
        <v>202</v>
      </c>
    </row>
    <row r="14" ht="18.75">
      <c r="B14" s="21" t="s">
        <v>206</v>
      </c>
    </row>
    <row r="15" spans="3:6" ht="18.75">
      <c r="C15" s="21" t="s">
        <v>207</v>
      </c>
      <c r="F15" s="35">
        <v>33441399.45</v>
      </c>
    </row>
    <row r="16" spans="3:6" ht="18.75">
      <c r="C16" s="21" t="s">
        <v>208</v>
      </c>
      <c r="F16" s="35">
        <v>37549338.35</v>
      </c>
    </row>
    <row r="17" spans="3:6" ht="18.75">
      <c r="C17" s="21" t="s">
        <v>209</v>
      </c>
      <c r="F17" s="35">
        <v>26142180.5</v>
      </c>
    </row>
    <row r="18" spans="3:6" ht="18.75">
      <c r="C18" s="21" t="s">
        <v>210</v>
      </c>
      <c r="F18" s="35">
        <v>41326402.48</v>
      </c>
    </row>
    <row r="19" spans="3:6" ht="18.75">
      <c r="C19" s="21" t="s">
        <v>211</v>
      </c>
      <c r="F19" s="35">
        <v>8427838</v>
      </c>
    </row>
    <row r="20" spans="3:8" ht="18.75">
      <c r="C20" s="21" t="s">
        <v>212</v>
      </c>
      <c r="F20" s="35">
        <v>430265.83</v>
      </c>
      <c r="G20" s="36">
        <f>SUM(F15:F20)</f>
        <v>147317424.61</v>
      </c>
      <c r="H20" s="21" t="s">
        <v>202</v>
      </c>
    </row>
    <row r="21" ht="18.75">
      <c r="B21" s="21" t="s">
        <v>213</v>
      </c>
    </row>
    <row r="22" spans="3:6" ht="18.75">
      <c r="C22" s="21" t="s">
        <v>207</v>
      </c>
      <c r="F22" s="35">
        <v>6123540</v>
      </c>
    </row>
    <row r="23" spans="3:6" ht="18.75">
      <c r="C23" s="21" t="s">
        <v>208</v>
      </c>
      <c r="F23" s="35">
        <v>8339606.5</v>
      </c>
    </row>
    <row r="24" spans="3:6" ht="18.75">
      <c r="C24" s="21" t="s">
        <v>209</v>
      </c>
      <c r="F24" s="35">
        <v>3771443.76</v>
      </c>
    </row>
    <row r="25" spans="3:6" ht="18.75">
      <c r="C25" s="21" t="s">
        <v>210</v>
      </c>
      <c r="F25" s="35">
        <v>9236940.5</v>
      </c>
    </row>
    <row r="26" spans="3:8" ht="18.75">
      <c r="C26" s="21" t="s">
        <v>211</v>
      </c>
      <c r="F26" s="35">
        <v>4614567.5</v>
      </c>
      <c r="G26" s="36">
        <f>SUM(F22:F26)</f>
        <v>32086098.259999998</v>
      </c>
      <c r="H26" s="21" t="s">
        <v>202</v>
      </c>
    </row>
    <row r="27" spans="2:6" ht="18.75">
      <c r="B27" s="21" t="s">
        <v>214</v>
      </c>
      <c r="F27" s="22"/>
    </row>
    <row r="28" spans="3:6" ht="18.75">
      <c r="C28" s="21" t="s">
        <v>207</v>
      </c>
      <c r="F28" s="22">
        <v>1000</v>
      </c>
    </row>
    <row r="29" spans="3:6" ht="18.75">
      <c r="C29" s="21" t="s">
        <v>208</v>
      </c>
      <c r="F29" s="22">
        <v>4000</v>
      </c>
    </row>
    <row r="30" spans="3:6" ht="18.75">
      <c r="C30" s="21" t="s">
        <v>209</v>
      </c>
      <c r="F30" s="35">
        <v>119000</v>
      </c>
    </row>
    <row r="31" spans="3:6" ht="18.75">
      <c r="C31" s="21" t="s">
        <v>210</v>
      </c>
      <c r="F31" s="35">
        <v>3000</v>
      </c>
    </row>
    <row r="32" spans="3:6" ht="18.75">
      <c r="C32" s="21" t="s">
        <v>211</v>
      </c>
      <c r="F32" s="35">
        <v>193000</v>
      </c>
    </row>
    <row r="33" spans="3:8" ht="18.75">
      <c r="C33" s="21" t="s">
        <v>212</v>
      </c>
      <c r="F33" s="35">
        <v>1868366</v>
      </c>
      <c r="G33" s="36">
        <f>SUM(F28:F33)</f>
        <v>2188366</v>
      </c>
      <c r="H33" s="21" t="s">
        <v>202</v>
      </c>
    </row>
  </sheetData>
  <sheetProtection/>
  <mergeCells count="4">
    <mergeCell ref="A1:J1"/>
    <mergeCell ref="A2:J2"/>
    <mergeCell ref="A3:J3"/>
    <mergeCell ref="A5:E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H21"/>
  <sheetViews>
    <sheetView view="pageBreakPreview" zoomScaleSheetLayoutView="100" zoomScalePageLayoutView="0" workbookViewId="0" topLeftCell="A4">
      <selection activeCell="L19" sqref="L19"/>
    </sheetView>
  </sheetViews>
  <sheetFormatPr defaultColWidth="9.140625" defaultRowHeight="15"/>
  <cols>
    <col min="1" max="7" width="9.00390625" style="52" customWidth="1"/>
    <col min="8" max="8" width="19.00390625" style="52" customWidth="1"/>
    <col min="9" max="16384" width="9.00390625" style="52" customWidth="1"/>
  </cols>
  <sheetData>
    <row r="1" ht="34.5" customHeight="1"/>
    <row r="2" ht="34.5" customHeight="1"/>
    <row r="3" ht="34.5" customHeight="1"/>
    <row r="4" ht="34.5" customHeight="1"/>
    <row r="5" ht="34.5" customHeight="1"/>
    <row r="6" ht="34.5" customHeight="1"/>
    <row r="7" spans="4:5" ht="34.5" customHeight="1">
      <c r="D7" s="76"/>
      <c r="E7" s="77"/>
    </row>
    <row r="8" ht="34.5" customHeight="1"/>
    <row r="9" spans="1:8" s="53" customFormat="1" ht="38.25">
      <c r="A9" s="320" t="s">
        <v>418</v>
      </c>
      <c r="B9" s="320"/>
      <c r="C9" s="320"/>
      <c r="D9" s="320"/>
      <c r="E9" s="320"/>
      <c r="F9" s="320"/>
      <c r="G9" s="320"/>
      <c r="H9" s="320"/>
    </row>
    <row r="10" spans="1:8" s="53" customFormat="1" ht="38.25">
      <c r="A10" s="320" t="s">
        <v>417</v>
      </c>
      <c r="B10" s="320"/>
      <c r="C10" s="320"/>
      <c r="D10" s="320"/>
      <c r="E10" s="320"/>
      <c r="F10" s="320"/>
      <c r="G10" s="320"/>
      <c r="H10" s="320"/>
    </row>
    <row r="11" spans="1:8" s="53" customFormat="1" ht="38.25">
      <c r="A11" s="320" t="s">
        <v>343</v>
      </c>
      <c r="B11" s="320"/>
      <c r="C11" s="320"/>
      <c r="D11" s="320"/>
      <c r="E11" s="320"/>
      <c r="F11" s="320"/>
      <c r="G11" s="320"/>
      <c r="H11" s="320"/>
    </row>
    <row r="12" spans="1:8" s="53" customFormat="1" ht="38.25">
      <c r="A12" s="320" t="s">
        <v>344</v>
      </c>
      <c r="B12" s="320"/>
      <c r="C12" s="320"/>
      <c r="D12" s="320"/>
      <c r="E12" s="320"/>
      <c r="F12" s="320"/>
      <c r="G12" s="320"/>
      <c r="H12" s="320"/>
    </row>
    <row r="13" spans="1:8" s="53" customFormat="1" ht="33.75">
      <c r="A13" s="319"/>
      <c r="B13" s="319"/>
      <c r="C13" s="319"/>
      <c r="D13" s="319"/>
      <c r="E13" s="319"/>
      <c r="F13" s="319"/>
      <c r="G13" s="319"/>
      <c r="H13" s="319"/>
    </row>
    <row r="14" spans="1:8" s="53" customFormat="1" ht="33.75">
      <c r="A14" s="56"/>
      <c r="B14" s="56"/>
      <c r="C14" s="56"/>
      <c r="D14" s="56"/>
      <c r="E14" s="56"/>
      <c r="F14" s="56"/>
      <c r="G14" s="56"/>
      <c r="H14" s="56"/>
    </row>
    <row r="15" s="53" customFormat="1" ht="33.75"/>
    <row r="16" spans="1:8" s="53" customFormat="1" ht="33.75">
      <c r="A16" s="319"/>
      <c r="B16" s="319"/>
      <c r="C16" s="319"/>
      <c r="D16" s="319"/>
      <c r="E16" s="319"/>
      <c r="F16" s="319"/>
      <c r="G16" s="319"/>
      <c r="H16" s="319"/>
    </row>
    <row r="17" spans="1:8" s="53" customFormat="1" ht="33.75">
      <c r="A17" s="56"/>
      <c r="B17" s="56"/>
      <c r="C17" s="56"/>
      <c r="D17" s="56"/>
      <c r="E17" s="56"/>
      <c r="F17" s="56"/>
      <c r="G17" s="56"/>
      <c r="H17" s="56"/>
    </row>
    <row r="18" s="54" customFormat="1" ht="26.25"/>
    <row r="19" s="53" customFormat="1" ht="33.75"/>
    <row r="20" s="53" customFormat="1" ht="33.75"/>
    <row r="21" s="55" customFormat="1" ht="21">
      <c r="H21" s="140">
        <v>241488</v>
      </c>
    </row>
    <row r="22" s="55" customFormat="1" ht="21"/>
    <row r="23" s="55" customFormat="1" ht="21"/>
    <row r="24" s="55" customFormat="1" ht="21"/>
    <row r="25" s="55" customFormat="1" ht="21"/>
    <row r="26" s="55" customFormat="1" ht="21"/>
    <row r="27" s="55" customFormat="1" ht="21"/>
    <row r="28" s="55" customFormat="1" ht="21"/>
    <row r="29" s="55" customFormat="1" ht="21"/>
    <row r="30" s="55" customFormat="1" ht="21"/>
    <row r="31" s="55" customFormat="1" ht="21"/>
    <row r="32" s="55" customFormat="1" ht="21"/>
    <row r="33" s="55" customFormat="1" ht="21"/>
    <row r="34" s="55" customFormat="1" ht="21"/>
    <row r="35" s="55" customFormat="1" ht="21"/>
    <row r="36" s="55" customFormat="1" ht="21"/>
    <row r="37" s="55" customFormat="1" ht="21"/>
    <row r="38" s="55" customFormat="1" ht="21"/>
    <row r="39" s="55" customFormat="1" ht="21"/>
  </sheetData>
  <sheetProtection/>
  <mergeCells count="6">
    <mergeCell ref="A16:H16"/>
    <mergeCell ref="A9:H9"/>
    <mergeCell ref="A10:H10"/>
    <mergeCell ref="A11:H11"/>
    <mergeCell ref="A12:H12"/>
    <mergeCell ref="A13:H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view="pageBreakPreview" zoomScaleSheetLayoutView="100" zoomScalePageLayoutView="0" workbookViewId="0" topLeftCell="A7">
      <selection activeCell="K41" sqref="K41"/>
    </sheetView>
  </sheetViews>
  <sheetFormatPr defaultColWidth="11.00390625" defaultRowHeight="15"/>
  <cols>
    <col min="1" max="1" width="3.8515625" style="41" customWidth="1"/>
    <col min="2" max="2" width="5.28125" style="41" customWidth="1"/>
    <col min="3" max="3" width="21.8515625" style="41" customWidth="1"/>
    <col min="4" max="4" width="7.00390625" style="3" bestFit="1" customWidth="1"/>
    <col min="5" max="6" width="15.140625" style="41" customWidth="1"/>
    <col min="7" max="7" width="15.140625" style="3" customWidth="1"/>
    <col min="8" max="8" width="7.140625" style="74" customWidth="1"/>
    <col min="9" max="9" width="3.140625" style="4" customWidth="1"/>
    <col min="10" max="10" width="13.00390625" style="4" customWidth="1"/>
    <col min="11" max="11" width="14.421875" style="41" bestFit="1" customWidth="1"/>
    <col min="12" max="12" width="4.28125" style="41" customWidth="1"/>
    <col min="13" max="13" width="10.7109375" style="41" customWidth="1"/>
    <col min="14" max="14" width="13.00390625" style="41" bestFit="1" customWidth="1"/>
    <col min="15" max="16384" width="11.00390625" style="41" customWidth="1"/>
  </cols>
  <sheetData>
    <row r="1" spans="1:8" ht="18.75">
      <c r="A1" s="321" t="s">
        <v>348</v>
      </c>
      <c r="B1" s="321"/>
      <c r="C1" s="321"/>
      <c r="D1" s="321"/>
      <c r="E1" s="321"/>
      <c r="F1" s="321"/>
      <c r="G1" s="321"/>
      <c r="H1" s="84"/>
    </row>
    <row r="2" spans="1:7" ht="18.75">
      <c r="A2" s="321" t="s">
        <v>391</v>
      </c>
      <c r="B2" s="321"/>
      <c r="C2" s="321"/>
      <c r="D2" s="321"/>
      <c r="E2" s="321"/>
      <c r="F2" s="321"/>
      <c r="G2" s="321"/>
    </row>
    <row r="3" spans="1:7" ht="18.75">
      <c r="A3" s="321" t="s">
        <v>341</v>
      </c>
      <c r="B3" s="321"/>
      <c r="C3" s="321"/>
      <c r="D3" s="321"/>
      <c r="E3" s="321"/>
      <c r="F3" s="321"/>
      <c r="G3" s="321"/>
    </row>
    <row r="4" ht="18.75">
      <c r="G4" s="131"/>
    </row>
    <row r="5" spans="5:10" s="3" customFormat="1" ht="18.75">
      <c r="E5" s="17"/>
      <c r="F5" s="17"/>
      <c r="G5" s="131" t="s">
        <v>58</v>
      </c>
      <c r="H5" s="84" t="s">
        <v>306</v>
      </c>
      <c r="I5" s="40"/>
      <c r="J5" s="40"/>
    </row>
    <row r="6" spans="1:10" s="3" customFormat="1" ht="18.75">
      <c r="A6" s="3" t="s">
        <v>54</v>
      </c>
      <c r="D6" s="131" t="s">
        <v>55</v>
      </c>
      <c r="E6" s="42" t="s">
        <v>56</v>
      </c>
      <c r="F6" s="42" t="s">
        <v>57</v>
      </c>
      <c r="G6" s="131" t="s">
        <v>101</v>
      </c>
      <c r="H6" s="84" t="s">
        <v>307</v>
      </c>
      <c r="I6" s="40"/>
      <c r="J6" s="40"/>
    </row>
    <row r="7" spans="2:10" s="3" customFormat="1" ht="18.75">
      <c r="B7" s="3" t="s">
        <v>59</v>
      </c>
      <c r="D7" s="131"/>
      <c r="E7" s="125"/>
      <c r="F7" s="125"/>
      <c r="G7" s="125"/>
      <c r="H7" s="74"/>
      <c r="I7" s="40"/>
      <c r="J7" s="40"/>
    </row>
    <row r="8" spans="3:11" ht="18.75">
      <c r="C8" s="41" t="s">
        <v>60</v>
      </c>
      <c r="D8" s="131">
        <v>2</v>
      </c>
      <c r="E8" s="2" t="e">
        <f>+'หมายเหตุ 2-29'!AV11</f>
        <v>#REF!</v>
      </c>
      <c r="F8" s="2" t="e">
        <f>+'หมายเหตุ 2-29'!AW11</f>
        <v>#REF!</v>
      </c>
      <c r="G8" s="125" t="e">
        <f>+E8+F8</f>
        <v>#REF!</v>
      </c>
      <c r="H8" s="74" t="e">
        <f aca="true" t="shared" si="0" ref="H8:H18">+G8*100/$G$19</f>
        <v>#REF!</v>
      </c>
      <c r="J8" s="41"/>
      <c r="K8" s="134"/>
    </row>
    <row r="9" spans="3:11" ht="18.75">
      <c r="C9" s="41" t="s">
        <v>61</v>
      </c>
      <c r="D9" s="131">
        <v>3</v>
      </c>
      <c r="E9" s="2">
        <f>+'หมายเหตุ 2-29'!AV17</f>
        <v>2485048.6</v>
      </c>
      <c r="F9" s="2">
        <f>+'หมายเหตุ 2-29'!AW17</f>
        <v>3021196.42</v>
      </c>
      <c r="G9" s="125">
        <f>+E9+F9</f>
        <v>5506245.02</v>
      </c>
      <c r="H9" s="74" t="e">
        <f t="shared" si="0"/>
        <v>#REF!</v>
      </c>
      <c r="J9" s="41"/>
      <c r="K9" s="134"/>
    </row>
    <row r="10" spans="3:11" ht="18.75">
      <c r="C10" s="41" t="s">
        <v>304</v>
      </c>
      <c r="D10" s="131">
        <v>4</v>
      </c>
      <c r="E10" s="2">
        <f>+'หมายเหตุ 2-29'!AV22</f>
        <v>0</v>
      </c>
      <c r="F10" s="2">
        <f>+'หมายเหตุ 2-29'!AW22</f>
        <v>0</v>
      </c>
      <c r="G10" s="125">
        <f>+E10+F10</f>
        <v>0</v>
      </c>
      <c r="H10" s="74" t="e">
        <f t="shared" si="0"/>
        <v>#REF!</v>
      </c>
      <c r="J10" s="41"/>
      <c r="K10" s="134"/>
    </row>
    <row r="11" spans="3:11" ht="18.75">
      <c r="C11" s="41" t="s">
        <v>305</v>
      </c>
      <c r="D11" s="131">
        <v>5</v>
      </c>
      <c r="E11" s="2">
        <f>+'หมายเหตุ 2-29'!AV26</f>
        <v>58949</v>
      </c>
      <c r="F11" s="2">
        <f>+'หมายเหตุ 2-29'!AW26</f>
        <v>0</v>
      </c>
      <c r="G11" s="125">
        <f>+E11+F11</f>
        <v>58949</v>
      </c>
      <c r="H11" s="74" t="e">
        <f t="shared" si="0"/>
        <v>#REF!</v>
      </c>
      <c r="J11" s="41"/>
      <c r="K11" s="134"/>
    </row>
    <row r="12" spans="3:11" ht="18.75">
      <c r="C12" s="41" t="s">
        <v>62</v>
      </c>
      <c r="D12" s="131">
        <v>6</v>
      </c>
      <c r="E12" s="2">
        <f>+'หมายเหตุ 2-29'!AV31</f>
        <v>0</v>
      </c>
      <c r="F12" s="2">
        <f>+'หมายเหตุ 2-29'!AW31</f>
        <v>18522960.12</v>
      </c>
      <c r="G12" s="125">
        <f>+E12+F12</f>
        <v>18522960.12</v>
      </c>
      <c r="H12" s="74" t="e">
        <f t="shared" si="0"/>
        <v>#REF!</v>
      </c>
      <c r="J12" s="41"/>
      <c r="K12" s="134"/>
    </row>
    <row r="13" spans="3:11" s="3" customFormat="1" ht="18.75">
      <c r="C13" s="3" t="s">
        <v>63</v>
      </c>
      <c r="D13" s="131"/>
      <c r="E13" s="49" t="e">
        <f>SUM(E8:E12)</f>
        <v>#REF!</v>
      </c>
      <c r="F13" s="49" t="e">
        <f>SUM(F8:F12)</f>
        <v>#REF!</v>
      </c>
      <c r="G13" s="49" t="e">
        <f>SUM(G8:G12)</f>
        <v>#REF!</v>
      </c>
      <c r="H13" s="99" t="e">
        <f t="shared" si="0"/>
        <v>#REF!</v>
      </c>
      <c r="I13" s="47"/>
      <c r="J13" s="41"/>
      <c r="K13" s="135"/>
    </row>
    <row r="14" spans="2:11" s="3" customFormat="1" ht="18.75">
      <c r="B14" s="3" t="s">
        <v>64</v>
      </c>
      <c r="D14" s="131"/>
      <c r="E14" s="125"/>
      <c r="F14" s="125"/>
      <c r="G14" s="125"/>
      <c r="H14" s="99" t="e">
        <f t="shared" si="0"/>
        <v>#REF!</v>
      </c>
      <c r="I14" s="40"/>
      <c r="J14" s="41"/>
      <c r="K14" s="135"/>
    </row>
    <row r="15" spans="3:8" ht="18.75">
      <c r="C15" s="41" t="s">
        <v>65</v>
      </c>
      <c r="D15" s="131">
        <v>7</v>
      </c>
      <c r="E15" s="2">
        <f>+'หมายเหตุ 2-29'!AV36</f>
        <v>0</v>
      </c>
      <c r="F15" s="2">
        <f>+'หมายเหตุ 2-29'!AW36</f>
        <v>5936065.29</v>
      </c>
      <c r="G15" s="125">
        <f>SUM(E15:F15)</f>
        <v>5936065.29</v>
      </c>
      <c r="H15" s="74" t="e">
        <f t="shared" si="0"/>
        <v>#REF!</v>
      </c>
    </row>
    <row r="16" spans="3:8" ht="18.75">
      <c r="C16" s="41" t="s">
        <v>378</v>
      </c>
      <c r="D16" s="131">
        <v>8</v>
      </c>
      <c r="E16" s="2">
        <f>+'หมายเหตุ 2-29'!AV45</f>
        <v>1216979394.8</v>
      </c>
      <c r="F16" s="2">
        <f>+'หมายเหตุ 2-29'!AW45</f>
        <v>206604470.41999996</v>
      </c>
      <c r="G16" s="125">
        <f>SUM(E16:F16)</f>
        <v>1423583865.2199998</v>
      </c>
      <c r="H16" s="74" t="e">
        <f t="shared" si="0"/>
        <v>#REF!</v>
      </c>
    </row>
    <row r="17" spans="3:8" ht="18.75">
      <c r="C17" s="41" t="s">
        <v>379</v>
      </c>
      <c r="D17" s="131">
        <v>9</v>
      </c>
      <c r="E17" s="2">
        <f>+'หมายเหตุ 2-29'!AV50</f>
        <v>122412.08</v>
      </c>
      <c r="F17" s="2">
        <f>+'หมายเหตุ 2-29'!AW50</f>
        <v>27888.89</v>
      </c>
      <c r="G17" s="125">
        <f>SUM(E17:F17)</f>
        <v>150300.97</v>
      </c>
      <c r="H17" s="74" t="e">
        <f t="shared" si="0"/>
        <v>#REF!</v>
      </c>
    </row>
    <row r="18" spans="3:10" s="3" customFormat="1" ht="18.75">
      <c r="C18" s="3" t="s">
        <v>66</v>
      </c>
      <c r="D18" s="131"/>
      <c r="E18" s="79">
        <f>SUM(E15:E17)</f>
        <v>1217101806.8799999</v>
      </c>
      <c r="F18" s="79">
        <f>SUM(F15:F17)</f>
        <v>212568424.59999993</v>
      </c>
      <c r="G18" s="79">
        <f>SUM(G15:G17)</f>
        <v>1429670231.4799998</v>
      </c>
      <c r="H18" s="100" t="e">
        <f t="shared" si="0"/>
        <v>#REF!</v>
      </c>
      <c r="I18" s="47"/>
      <c r="J18" s="75"/>
    </row>
    <row r="19" spans="1:10" s="3" customFormat="1" ht="19.5" thickBot="1">
      <c r="A19" s="3" t="s">
        <v>389</v>
      </c>
      <c r="D19" s="131"/>
      <c r="E19" s="48" t="e">
        <f>+E13+E18</f>
        <v>#REF!</v>
      </c>
      <c r="F19" s="48" t="e">
        <f>+F13+F18</f>
        <v>#REF!</v>
      </c>
      <c r="G19" s="48" t="e">
        <f>+G13+G18</f>
        <v>#REF!</v>
      </c>
      <c r="H19" s="48" t="e">
        <f>+H13+H18</f>
        <v>#REF!</v>
      </c>
      <c r="I19" s="47"/>
      <c r="J19" s="40"/>
    </row>
    <row r="20" spans="4:10" s="3" customFormat="1" ht="19.5" thickTop="1">
      <c r="D20" s="131"/>
      <c r="E20" s="2"/>
      <c r="F20" s="2"/>
      <c r="G20" s="125"/>
      <c r="H20" s="74"/>
      <c r="I20" s="40"/>
      <c r="J20" s="40"/>
    </row>
    <row r="21" spans="1:10" s="3" customFormat="1" ht="18.75">
      <c r="A21" s="3" t="s">
        <v>68</v>
      </c>
      <c r="D21" s="131"/>
      <c r="E21" s="2"/>
      <c r="F21" s="2"/>
      <c r="G21" s="125"/>
      <c r="H21" s="74"/>
      <c r="I21" s="40"/>
      <c r="J21" s="40"/>
    </row>
    <row r="22" spans="2:10" s="3" customFormat="1" ht="18.75">
      <c r="B22" s="3" t="s">
        <v>69</v>
      </c>
      <c r="D22" s="131"/>
      <c r="E22" s="125"/>
      <c r="F22" s="125"/>
      <c r="G22" s="125"/>
      <c r="H22" s="74"/>
      <c r="I22" s="40"/>
      <c r="J22" s="40"/>
    </row>
    <row r="23" spans="3:8" ht="18.75">
      <c r="C23" s="41" t="s">
        <v>70</v>
      </c>
      <c r="D23" s="131">
        <v>10</v>
      </c>
      <c r="E23" s="2">
        <f>+'หมายเหตุ 2-29'!AV57</f>
        <v>4842596.680000001</v>
      </c>
      <c r="F23" s="2">
        <f>+'หมายเหตุ 2-29'!AW57</f>
        <v>4526239.16</v>
      </c>
      <c r="G23" s="125">
        <f>SUM(E23:F23)</f>
        <v>9368835.84</v>
      </c>
      <c r="H23" s="74">
        <f>+G23*100/$G$31</f>
        <v>26.77323288577245</v>
      </c>
    </row>
    <row r="24" spans="3:8" ht="18.75">
      <c r="C24" s="41" t="s">
        <v>308</v>
      </c>
      <c r="D24" s="131">
        <v>11</v>
      </c>
      <c r="E24" s="2">
        <f>+'หมายเหตุ 2-29'!AV64</f>
        <v>3829180</v>
      </c>
      <c r="F24" s="2">
        <f>+'หมายเหตุ 2-29'!AW64</f>
        <v>3043</v>
      </c>
      <c r="G24" s="125">
        <f>SUM(E24:F24)</f>
        <v>3832223</v>
      </c>
      <c r="H24" s="74">
        <f>+G24*100/$G$31</f>
        <v>10.951307142255741</v>
      </c>
    </row>
    <row r="25" spans="3:8" ht="18.75">
      <c r="C25" s="41" t="s">
        <v>71</v>
      </c>
      <c r="D25" s="131">
        <v>12</v>
      </c>
      <c r="E25" s="2">
        <f>+'หมายเหตุ 2-29'!AV108</f>
        <v>34170</v>
      </c>
      <c r="F25" s="2">
        <f>+'หมายเหตุ 2-29'!AW108</f>
        <v>12173369.889999997</v>
      </c>
      <c r="G25" s="125">
        <f>SUM(E25:F25)</f>
        <v>12207539.889999997</v>
      </c>
      <c r="H25" s="74">
        <f>+G25*100/$G$31</f>
        <v>34.88537039382333</v>
      </c>
    </row>
    <row r="26" spans="3:8" ht="18.75">
      <c r="C26" s="41" t="s">
        <v>72</v>
      </c>
      <c r="D26" s="131">
        <v>13</v>
      </c>
      <c r="E26" s="2">
        <f>+'หมายเหตุ 2-29'!AV113</f>
        <v>0</v>
      </c>
      <c r="F26" s="2">
        <f>+'หมายเหตุ 2-29'!AW113</f>
        <v>992</v>
      </c>
      <c r="G26" s="125">
        <f>+E26+F26</f>
        <v>992</v>
      </c>
      <c r="H26" s="74">
        <f>+G26*100/$G$31</f>
        <v>0.0028348289452669365</v>
      </c>
    </row>
    <row r="27" spans="3:10" s="3" customFormat="1" ht="18.75">
      <c r="C27" s="3" t="s">
        <v>73</v>
      </c>
      <c r="D27" s="131"/>
      <c r="E27" s="49">
        <f>SUM(E23:E26)</f>
        <v>8705946.68</v>
      </c>
      <c r="F27" s="49">
        <f>SUM(F23:F26)</f>
        <v>16703644.049999997</v>
      </c>
      <c r="G27" s="49">
        <f>SUM(G23:G26)</f>
        <v>25409590.729999997</v>
      </c>
      <c r="H27" s="49">
        <f>SUM(H23:H26)</f>
        <v>72.61274525079679</v>
      </c>
      <c r="I27" s="47"/>
      <c r="J27" s="40"/>
    </row>
    <row r="28" spans="2:10" s="3" customFormat="1" ht="18.75">
      <c r="B28" s="3" t="s">
        <v>74</v>
      </c>
      <c r="D28" s="131"/>
      <c r="E28" s="125"/>
      <c r="F28" s="125"/>
      <c r="G28" s="125"/>
      <c r="H28" s="74"/>
      <c r="I28" s="40"/>
      <c r="J28" s="40"/>
    </row>
    <row r="29" spans="3:9" ht="18.75">
      <c r="C29" s="41" t="s">
        <v>266</v>
      </c>
      <c r="D29" s="131">
        <v>14</v>
      </c>
      <c r="E29" s="2">
        <f>+'หมายเหตุ 2-29'!AV120</f>
        <v>2850000</v>
      </c>
      <c r="F29" s="2">
        <f>+'หมายเหตุ 2-29'!AW120</f>
        <v>6733702.31</v>
      </c>
      <c r="G29" s="125">
        <f>+E29+F29</f>
        <v>9583702.309999999</v>
      </c>
      <c r="H29" s="74">
        <f>+G29*100/$G$31</f>
        <v>27.387254749203223</v>
      </c>
      <c r="I29" s="73"/>
    </row>
    <row r="30" spans="2:8" ht="18.75">
      <c r="B30" s="3"/>
      <c r="C30" s="3" t="s">
        <v>75</v>
      </c>
      <c r="D30" s="131"/>
      <c r="E30" s="49">
        <f>SUM(E29:E29)</f>
        <v>2850000</v>
      </c>
      <c r="F30" s="49">
        <f>SUM(F29:F29)</f>
        <v>6733702.31</v>
      </c>
      <c r="G30" s="49">
        <f>+E30+F30</f>
        <v>9583702.309999999</v>
      </c>
      <c r="H30" s="99">
        <f>+G30*100/$G$31</f>
        <v>27.387254749203223</v>
      </c>
    </row>
    <row r="31" spans="2:10" s="3" customFormat="1" ht="18.75">
      <c r="B31" s="3" t="s">
        <v>76</v>
      </c>
      <c r="D31" s="131"/>
      <c r="E31" s="49">
        <f>+E27+E30</f>
        <v>11555946.68</v>
      </c>
      <c r="F31" s="49">
        <f>+F27+F30</f>
        <v>23437346.359999996</v>
      </c>
      <c r="G31" s="49">
        <f>+G27+G30</f>
        <v>34993293.03999999</v>
      </c>
      <c r="H31" s="49">
        <f>+H27+H30</f>
        <v>100.00000000000001</v>
      </c>
      <c r="I31" s="47"/>
      <c r="J31" s="40"/>
    </row>
    <row r="32" spans="4:10" s="3" customFormat="1" ht="18.75">
      <c r="D32" s="131"/>
      <c r="E32" s="2"/>
      <c r="F32" s="2"/>
      <c r="G32" s="125"/>
      <c r="H32" s="74"/>
      <c r="I32" s="40"/>
      <c r="J32" s="40"/>
    </row>
    <row r="33" spans="1:10" s="3" customFormat="1" ht="18.75">
      <c r="A33" s="3" t="s">
        <v>377</v>
      </c>
      <c r="D33" s="131"/>
      <c r="E33" s="2"/>
      <c r="F33" s="2"/>
      <c r="G33" s="125"/>
      <c r="H33" s="74"/>
      <c r="I33" s="40"/>
      <c r="J33" s="40"/>
    </row>
    <row r="34" spans="3:9" s="43" customFormat="1" ht="18.75">
      <c r="C34" s="43" t="s">
        <v>77</v>
      </c>
      <c r="D34" s="71"/>
      <c r="E34" s="45">
        <f>+'หมายเหตุ 2-29'!AV315</f>
        <v>1112723331.44</v>
      </c>
      <c r="F34" s="45">
        <f>+'หมายเหตุ 2-29'!AW315</f>
        <v>715268909.85</v>
      </c>
      <c r="G34" s="97">
        <f>+E34+F34</f>
        <v>1827992241.29</v>
      </c>
      <c r="H34" s="74">
        <f>+G34*100/$G$38</f>
        <v>37.19472307682467</v>
      </c>
      <c r="I34" s="46"/>
    </row>
    <row r="35" spans="3:9" s="43" customFormat="1" ht="18.75">
      <c r="C35" s="43" t="s">
        <v>78</v>
      </c>
      <c r="D35" s="71"/>
      <c r="E35" s="45">
        <f>+'หมายเหตุ 2-29'!AV316+265059083.47</f>
        <v>2105316113.8300002</v>
      </c>
      <c r="F35" s="45">
        <f>+'หมายเหตุ 2-29'!AW316-225368547.36</f>
        <v>837227711.87</v>
      </c>
      <c r="G35" s="97">
        <f>+E35+F35</f>
        <v>2942543825.7000003</v>
      </c>
      <c r="H35" s="74">
        <f>+G35*100/$G$38</f>
        <v>59.87284861838132</v>
      </c>
      <c r="I35" s="46"/>
    </row>
    <row r="36" spans="3:8" s="4" customFormat="1" ht="18.75">
      <c r="C36" s="4" t="s">
        <v>79</v>
      </c>
      <c r="D36" s="65"/>
      <c r="E36" s="45">
        <f>+งบรายได้คชจ_รวมพท!F32</f>
        <v>52733877.04999991</v>
      </c>
      <c r="F36" s="45">
        <f>+งบรายได้คชจ_รวมพท!G32</f>
        <v>56391558.20999996</v>
      </c>
      <c r="G36" s="97">
        <f>+E36+F36</f>
        <v>109125435.25999987</v>
      </c>
      <c r="H36" s="74">
        <f>+G36*100/$G$38</f>
        <v>2.220408956587981</v>
      </c>
    </row>
    <row r="37" spans="2:10" s="3" customFormat="1" ht="18.75">
      <c r="B37" s="3" t="s">
        <v>218</v>
      </c>
      <c r="D37" s="131"/>
      <c r="E37" s="49">
        <f>SUM(E34:E36)</f>
        <v>3270773322.32</v>
      </c>
      <c r="F37" s="49">
        <f>SUM(F34:F36)</f>
        <v>1608888179.93</v>
      </c>
      <c r="G37" s="49">
        <f>SUM(G34:G36)</f>
        <v>4879661502.25</v>
      </c>
      <c r="H37" s="100">
        <f>+G37*100/$G$38</f>
        <v>99.28798065179397</v>
      </c>
      <c r="I37" s="40"/>
      <c r="J37" s="40"/>
    </row>
    <row r="38" spans="1:14" s="3" customFormat="1" ht="19.5" thickBot="1">
      <c r="A38" s="3" t="s">
        <v>80</v>
      </c>
      <c r="D38" s="131"/>
      <c r="E38" s="48">
        <f>+E31+E37</f>
        <v>3282329269</v>
      </c>
      <c r="F38" s="48">
        <f>+F31+F37</f>
        <v>1632325526.29</v>
      </c>
      <c r="G38" s="48">
        <f>+G31+G37</f>
        <v>4914654795.29</v>
      </c>
      <c r="H38" s="101">
        <f>+G38*100/$G$38</f>
        <v>100</v>
      </c>
      <c r="I38" s="47"/>
      <c r="J38" s="47"/>
      <c r="K38" s="47"/>
      <c r="L38" s="47"/>
      <c r="M38" s="47"/>
      <c r="N38" s="47"/>
    </row>
    <row r="39" spans="4:8" s="4" customFormat="1" ht="19.5" thickTop="1">
      <c r="D39" s="65"/>
      <c r="G39" s="40"/>
      <c r="H39" s="74"/>
    </row>
    <row r="40" spans="4:8" s="4" customFormat="1" ht="18.75">
      <c r="D40" s="65"/>
      <c r="G40" s="40"/>
      <c r="H40" s="74"/>
    </row>
    <row r="41" spans="5:7" ht="18.75">
      <c r="E41" s="60" t="e">
        <f>+E19-E38</f>
        <v>#REF!</v>
      </c>
      <c r="F41" s="60" t="e">
        <f>+F19-F38</f>
        <v>#REF!</v>
      </c>
      <c r="G41" s="126" t="e">
        <f>+G19-G38</f>
        <v>#REF!</v>
      </c>
    </row>
    <row r="42" spans="5:7" ht="18.75">
      <c r="E42" s="60"/>
      <c r="F42" s="60"/>
      <c r="G42" s="126"/>
    </row>
  </sheetData>
  <sheetProtection/>
  <mergeCells count="3">
    <mergeCell ref="A1:G1"/>
    <mergeCell ref="A2:G2"/>
    <mergeCell ref="A3:G3"/>
  </mergeCells>
  <printOptions/>
  <pageMargins left="0.72" right="0.1574803149606299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zoomScalePageLayoutView="0" workbookViewId="0" topLeftCell="A1">
      <selection activeCell="F38" sqref="F38"/>
    </sheetView>
  </sheetViews>
  <sheetFormatPr defaultColWidth="11.00390625" defaultRowHeight="15"/>
  <cols>
    <col min="1" max="1" width="2.7109375" style="43" customWidth="1"/>
    <col min="2" max="3" width="2.8515625" style="43" customWidth="1"/>
    <col min="4" max="4" width="22.7109375" style="43" customWidth="1"/>
    <col min="5" max="5" width="7.00390625" style="71" bestFit="1" customWidth="1"/>
    <col min="6" max="6" width="15.00390625" style="50" customWidth="1"/>
    <col min="7" max="7" width="13.7109375" style="50" customWidth="1"/>
    <col min="8" max="8" width="15.00390625" style="91" customWidth="1"/>
    <col min="9" max="9" width="7.57421875" style="97" customWidth="1"/>
    <col min="10" max="16384" width="11.00390625" style="43" customWidth="1"/>
  </cols>
  <sheetData>
    <row r="1" spans="1:9" ht="18.75">
      <c r="A1" s="321" t="s">
        <v>348</v>
      </c>
      <c r="B1" s="321"/>
      <c r="C1" s="321"/>
      <c r="D1" s="321"/>
      <c r="E1" s="321"/>
      <c r="F1" s="321"/>
      <c r="G1" s="321"/>
      <c r="H1" s="321"/>
      <c r="I1" s="84"/>
    </row>
    <row r="2" spans="1:8" ht="18.75">
      <c r="A2" s="321" t="s">
        <v>392</v>
      </c>
      <c r="B2" s="321"/>
      <c r="C2" s="321"/>
      <c r="D2" s="321"/>
      <c r="E2" s="321"/>
      <c r="F2" s="321"/>
      <c r="G2" s="321"/>
      <c r="H2" s="321"/>
    </row>
    <row r="3" spans="1:8" ht="18.75">
      <c r="A3" s="321" t="s">
        <v>342</v>
      </c>
      <c r="B3" s="321"/>
      <c r="C3" s="321"/>
      <c r="D3" s="321"/>
      <c r="E3" s="321"/>
      <c r="F3" s="321"/>
      <c r="G3" s="321"/>
      <c r="H3" s="321"/>
    </row>
    <row r="4" spans="8:9" ht="18.75">
      <c r="H4" s="97" t="s">
        <v>58</v>
      </c>
      <c r="I4" s="97" t="s">
        <v>306</v>
      </c>
    </row>
    <row r="5" spans="5:9" s="17" customFormat="1" ht="18.75">
      <c r="E5" s="71" t="s">
        <v>55</v>
      </c>
      <c r="F5" s="42" t="s">
        <v>56</v>
      </c>
      <c r="G5" s="42" t="s">
        <v>57</v>
      </c>
      <c r="H5" s="90" t="s">
        <v>101</v>
      </c>
      <c r="I5" s="97" t="s">
        <v>307</v>
      </c>
    </row>
    <row r="6" spans="1:9" s="17" customFormat="1" ht="18.75">
      <c r="A6" s="17" t="s">
        <v>82</v>
      </c>
      <c r="E6" s="71"/>
      <c r="F6" s="322"/>
      <c r="G6" s="322"/>
      <c r="H6" s="322"/>
      <c r="I6" s="97"/>
    </row>
    <row r="7" spans="2:9" s="17" customFormat="1" ht="18.75">
      <c r="B7" s="17" t="s">
        <v>83</v>
      </c>
      <c r="E7" s="71"/>
      <c r="F7" s="42"/>
      <c r="G7" s="42"/>
      <c r="H7" s="42"/>
      <c r="I7" s="97"/>
    </row>
    <row r="8" spans="3:9" ht="18.75">
      <c r="C8" s="43" t="s">
        <v>84</v>
      </c>
      <c r="E8" s="71">
        <v>15</v>
      </c>
      <c r="F8" s="50">
        <f>+'หมายเหตุ 2-29'!AV131</f>
        <v>711515337.2900001</v>
      </c>
      <c r="G8" s="50">
        <f>+'หมายเหตุ 2-29'!AW131</f>
        <v>0</v>
      </c>
      <c r="H8" s="91">
        <f>SUM(F8:G8)</f>
        <v>711515337.2900001</v>
      </c>
      <c r="I8" s="97">
        <f>+H8*100/$H$18</f>
        <v>75.08495992338169</v>
      </c>
    </row>
    <row r="9" spans="4:9" s="17" customFormat="1" ht="18.75">
      <c r="D9" s="17" t="s">
        <v>85</v>
      </c>
      <c r="E9" s="71"/>
      <c r="F9" s="86">
        <f>SUM(F8)</f>
        <v>711515337.2900001</v>
      </c>
      <c r="G9" s="86">
        <f>SUM(G8)</f>
        <v>0</v>
      </c>
      <c r="H9" s="86">
        <f>SUM(F9:G9)</f>
        <v>711515337.2900001</v>
      </c>
      <c r="I9" s="86">
        <f>SUM(I8)</f>
        <v>75.08495992338169</v>
      </c>
    </row>
    <row r="10" ht="18.75">
      <c r="B10" s="17" t="s">
        <v>86</v>
      </c>
    </row>
    <row r="11" spans="3:9" ht="18.75">
      <c r="C11" s="43" t="s">
        <v>87</v>
      </c>
      <c r="E11" s="71">
        <v>16</v>
      </c>
      <c r="F11" s="50">
        <f>+'หมายเหตุ 2-29'!AV135</f>
        <v>0</v>
      </c>
      <c r="G11" s="50">
        <f>+'หมายเหตุ 2-29'!AW136</f>
        <v>187039966.1</v>
      </c>
      <c r="H11" s="91">
        <f aca="true" t="shared" si="0" ref="H11:H16">SUM(F11:G11)</f>
        <v>187039966.1</v>
      </c>
      <c r="I11" s="97">
        <f aca="true" t="shared" si="1" ref="I11:I16">+H11*100/$H$18</f>
        <v>19.737998076301686</v>
      </c>
    </row>
    <row r="12" spans="3:9" ht="18.75">
      <c r="C12" s="43" t="s">
        <v>88</v>
      </c>
      <c r="E12" s="71">
        <v>17</v>
      </c>
      <c r="F12" s="50">
        <f>+'หมายเหตุ 2-29'!AV145</f>
        <v>0</v>
      </c>
      <c r="G12" s="50">
        <f>+'หมายเหตุ 2-29'!AW145</f>
        <v>33323338.88</v>
      </c>
      <c r="H12" s="91">
        <f t="shared" si="0"/>
        <v>33323338.88</v>
      </c>
      <c r="I12" s="97">
        <f t="shared" si="1"/>
        <v>3.5165532395238666</v>
      </c>
    </row>
    <row r="13" spans="3:9" ht="18.75">
      <c r="C13" s="43" t="s">
        <v>89</v>
      </c>
      <c r="E13" s="71">
        <v>18</v>
      </c>
      <c r="F13" s="50">
        <f>+'หมายเหตุ 2-29'!AV150</f>
        <v>0</v>
      </c>
      <c r="G13" s="50">
        <f>+'หมายเหตุ 2-29'!AW150</f>
        <v>480603.48</v>
      </c>
      <c r="H13" s="91">
        <f t="shared" si="0"/>
        <v>480603.48</v>
      </c>
      <c r="I13" s="97">
        <f t="shared" si="1"/>
        <v>0.050717238467805174</v>
      </c>
    </row>
    <row r="14" spans="3:9" ht="18.75">
      <c r="C14" s="43" t="s">
        <v>90</v>
      </c>
      <c r="E14" s="71">
        <v>19</v>
      </c>
      <c r="F14" s="50">
        <f>+'หมายเหตุ 2-29'!AV155</f>
        <v>0</v>
      </c>
      <c r="G14" s="50">
        <f>+'หมายเหตุ 2-29'!AW155</f>
        <v>3041448.16</v>
      </c>
      <c r="H14" s="91">
        <f t="shared" si="0"/>
        <v>3041448.16</v>
      </c>
      <c r="I14" s="97">
        <f t="shared" si="1"/>
        <v>0.32095866558891184</v>
      </c>
    </row>
    <row r="15" spans="3:9" ht="18.75">
      <c r="C15" s="43" t="s">
        <v>309</v>
      </c>
      <c r="E15" s="71">
        <v>20</v>
      </c>
      <c r="F15" s="50">
        <f>+'หมายเหตุ 2-29'!AV160</f>
        <v>0</v>
      </c>
      <c r="G15" s="50">
        <f>+'หมายเหตุ 2-29'!AW160</f>
        <v>71819.20999999999</v>
      </c>
      <c r="H15" s="91">
        <f t="shared" si="0"/>
        <v>71819.20999999999</v>
      </c>
      <c r="I15" s="97">
        <f t="shared" si="1"/>
        <v>0.007578954692836135</v>
      </c>
    </row>
    <row r="16" spans="3:9" ht="18.75">
      <c r="C16" s="43" t="s">
        <v>91</v>
      </c>
      <c r="E16" s="71">
        <v>21</v>
      </c>
      <c r="F16" s="50">
        <f>+'หมายเหตุ 2-29'!AV167</f>
        <v>0</v>
      </c>
      <c r="G16" s="50">
        <f>+'หมายเหตุ 2-29'!AW167</f>
        <v>12141147.48</v>
      </c>
      <c r="H16" s="91">
        <f t="shared" si="0"/>
        <v>12141147.48</v>
      </c>
      <c r="I16" s="97">
        <f t="shared" si="1"/>
        <v>1.2812339020432226</v>
      </c>
    </row>
    <row r="17" spans="4:9" s="17" customFormat="1" ht="18.75">
      <c r="D17" s="17" t="s">
        <v>92</v>
      </c>
      <c r="E17" s="71"/>
      <c r="F17" s="86">
        <f>SUM(F11:F16)</f>
        <v>0</v>
      </c>
      <c r="G17" s="86">
        <f>SUM(G11:G16)</f>
        <v>236098323.30999997</v>
      </c>
      <c r="H17" s="86">
        <f>SUM(H11:H16)</f>
        <v>236098323.30999997</v>
      </c>
      <c r="I17" s="102">
        <f>SUM(I11:I16)</f>
        <v>24.915040076618325</v>
      </c>
    </row>
    <row r="18" spans="1:9" s="17" customFormat="1" ht="18.75">
      <c r="A18" s="17" t="s">
        <v>322</v>
      </c>
      <c r="E18" s="71"/>
      <c r="F18" s="86">
        <f>+F9+F17</f>
        <v>711515337.2900001</v>
      </c>
      <c r="G18" s="86">
        <f>+G9+G17</f>
        <v>236098323.30999997</v>
      </c>
      <c r="H18" s="86">
        <f>+H9+H17</f>
        <v>947613660.6</v>
      </c>
      <c r="I18" s="102">
        <f>+I9+I17</f>
        <v>100.00000000000001</v>
      </c>
    </row>
    <row r="20" spans="1:9" s="17" customFormat="1" ht="18.75">
      <c r="A20" s="17" t="s">
        <v>93</v>
      </c>
      <c r="E20" s="71"/>
      <c r="F20" s="50"/>
      <c r="G20" s="50"/>
      <c r="H20" s="91"/>
      <c r="I20" s="97"/>
    </row>
    <row r="21" spans="3:9" ht="18.75">
      <c r="C21" s="43" t="s">
        <v>94</v>
      </c>
      <c r="E21" s="71">
        <v>22</v>
      </c>
      <c r="F21" s="50">
        <f>+'หมายเหตุ 2-29'!AV197</f>
        <v>396389398.4200001</v>
      </c>
      <c r="G21" s="50">
        <f>+'หมายเหตุ 2-29'!AW197</f>
        <v>57579711.89</v>
      </c>
      <c r="H21" s="91">
        <f>+F21+G21</f>
        <v>453969110.31000006</v>
      </c>
      <c r="I21" s="97">
        <f aca="true" t="shared" si="2" ref="I21:I29">+H21*100/$H$29</f>
        <v>54.12579309589449</v>
      </c>
    </row>
    <row r="22" spans="3:9" ht="18.75">
      <c r="C22" s="43" t="s">
        <v>310</v>
      </c>
      <c r="E22" s="71">
        <v>23</v>
      </c>
      <c r="F22" s="50">
        <f>+'หมายเหตุ 2-29'!AV216</f>
        <v>1230784.6</v>
      </c>
      <c r="G22" s="50">
        <f>+'หมายเหตุ 2-29'!AW216</f>
        <v>0</v>
      </c>
      <c r="H22" s="91">
        <f aca="true" t="shared" si="3" ref="H22:H27">+F22+G22</f>
        <v>1230784.6</v>
      </c>
      <c r="I22" s="97">
        <f t="shared" si="2"/>
        <v>0.14674388871904226</v>
      </c>
    </row>
    <row r="23" spans="3:9" ht="18.75">
      <c r="C23" s="43" t="s">
        <v>311</v>
      </c>
      <c r="E23" s="71">
        <v>24</v>
      </c>
      <c r="F23" s="50">
        <f>+'หมายเหตุ 2-29'!AV224</f>
        <v>11099013.87</v>
      </c>
      <c r="G23" s="50">
        <f>+'หมายเหตุ 2-29'!AW224</f>
        <v>5822745.11</v>
      </c>
      <c r="H23" s="91">
        <f t="shared" si="3"/>
        <v>16921758.98</v>
      </c>
      <c r="I23" s="97">
        <f t="shared" si="2"/>
        <v>2.017546138204503</v>
      </c>
    </row>
    <row r="24" spans="3:9" ht="18.75">
      <c r="C24" s="43" t="s">
        <v>312</v>
      </c>
      <c r="E24" s="71">
        <v>25</v>
      </c>
      <c r="F24" s="50">
        <f>+'หมายเหตุ 2-29'!AV234</f>
        <v>5446437.41</v>
      </c>
      <c r="G24" s="50">
        <f>+'หมายเหตุ 2-29'!AW234</f>
        <v>5262950.94</v>
      </c>
      <c r="H24" s="91">
        <f t="shared" si="3"/>
        <v>10709388.350000001</v>
      </c>
      <c r="I24" s="97">
        <f t="shared" si="2"/>
        <v>1.2768581052130548</v>
      </c>
    </row>
    <row r="25" spans="3:9" ht="18.75">
      <c r="C25" s="43" t="s">
        <v>313</v>
      </c>
      <c r="E25" s="71">
        <v>26</v>
      </c>
      <c r="F25" s="50">
        <f>+'หมายเหตุ 2-29'!AV257</f>
        <v>96089222.26</v>
      </c>
      <c r="G25" s="50">
        <f>+'หมายเหตุ 2-29'!AW257</f>
        <v>45278201.129999995</v>
      </c>
      <c r="H25" s="91">
        <f t="shared" si="3"/>
        <v>141367423.39</v>
      </c>
      <c r="I25" s="97">
        <f t="shared" si="2"/>
        <v>16.854943949119843</v>
      </c>
    </row>
    <row r="26" spans="3:9" ht="18.75">
      <c r="C26" s="43" t="s">
        <v>96</v>
      </c>
      <c r="E26" s="71">
        <v>27</v>
      </c>
      <c r="F26" s="50">
        <f>+'หมายเหตุ 2-29'!AV265</f>
        <v>21323526.85</v>
      </c>
      <c r="G26" s="50">
        <f>+'หมายเหตุ 2-29'!AW265</f>
        <v>9908751.91</v>
      </c>
      <c r="H26" s="91">
        <f t="shared" si="3"/>
        <v>31232278.76</v>
      </c>
      <c r="I26" s="97">
        <f t="shared" si="2"/>
        <v>3.7237596560759263</v>
      </c>
    </row>
    <row r="27" spans="3:9" ht="18.75">
      <c r="C27" s="43" t="s">
        <v>97</v>
      </c>
      <c r="E27" s="71">
        <v>28</v>
      </c>
      <c r="F27" s="50">
        <f>+'หมายเหตุ 2-29'!AV272</f>
        <v>113631029.32000001</v>
      </c>
      <c r="G27" s="50">
        <f>+'หมายเหตุ 2-29'!AW272</f>
        <v>20811407.64</v>
      </c>
      <c r="H27" s="91">
        <f t="shared" si="3"/>
        <v>134442436.96</v>
      </c>
      <c r="I27" s="97">
        <f t="shared" si="2"/>
        <v>16.029292216018213</v>
      </c>
    </row>
    <row r="28" spans="3:9" ht="18.75">
      <c r="C28" s="43" t="s">
        <v>98</v>
      </c>
      <c r="E28" s="71">
        <v>29</v>
      </c>
      <c r="F28" s="87">
        <f>+'หมายเหตุ 2-29'!AV281</f>
        <v>13532011.340000004</v>
      </c>
      <c r="G28" s="87">
        <f>+'หมายเหตุ 2-29'!AW281</f>
        <v>35324522.56</v>
      </c>
      <c r="H28" s="88">
        <f>+F28+G28</f>
        <v>48856533.900000006</v>
      </c>
      <c r="I28" s="97">
        <f t="shared" si="2"/>
        <v>5.825062950754922</v>
      </c>
    </row>
    <row r="29" spans="1:9" s="17" customFormat="1" ht="18.75">
      <c r="A29" s="17" t="s">
        <v>314</v>
      </c>
      <c r="E29" s="71"/>
      <c r="F29" s="88">
        <f>SUM(F21:F28)</f>
        <v>658741424.0700002</v>
      </c>
      <c r="G29" s="88">
        <f>SUM(G21:G28)</f>
        <v>179988291.18</v>
      </c>
      <c r="H29" s="88">
        <f>SUM(H21:H28)</f>
        <v>838729715.2500001</v>
      </c>
      <c r="I29" s="102">
        <f t="shared" si="2"/>
        <v>100</v>
      </c>
    </row>
    <row r="30" spans="1:9" ht="18.75">
      <c r="A30" s="43" t="s">
        <v>318</v>
      </c>
      <c r="F30" s="92">
        <f>+F18-F29</f>
        <v>52773913.21999991</v>
      </c>
      <c r="G30" s="92">
        <f>+G18-G29</f>
        <v>56110032.129999965</v>
      </c>
      <c r="H30" s="127">
        <f>+H18-H29</f>
        <v>108883945.3499999</v>
      </c>
      <c r="I30" s="97">
        <f>+H30*100/$H$18</f>
        <v>11.490330909862351</v>
      </c>
    </row>
    <row r="31" spans="1:9" ht="18.75">
      <c r="A31" s="43" t="s">
        <v>319</v>
      </c>
      <c r="E31" s="71">
        <v>30</v>
      </c>
      <c r="F31" s="87">
        <f>+'หมายเหตุ 2-29'!AV291</f>
        <v>-40036.17</v>
      </c>
      <c r="G31" s="87">
        <f>+'หมายเหตุ 2-29'!AW291</f>
        <v>281526.08</v>
      </c>
      <c r="H31" s="88">
        <f>SUM(F31:G31)</f>
        <v>241489.91000000003</v>
      </c>
      <c r="I31" s="85">
        <f>+H31*100/$H$18</f>
        <v>0.025484004720562597</v>
      </c>
    </row>
    <row r="32" spans="1:9" s="17" customFormat="1" ht="19.5" thickBot="1">
      <c r="A32" s="17" t="s">
        <v>316</v>
      </c>
      <c r="F32" s="141">
        <f>+F30+F31</f>
        <v>52733877.04999991</v>
      </c>
      <c r="G32" s="141">
        <f>+G30+G31</f>
        <v>56391558.20999996</v>
      </c>
      <c r="H32" s="89">
        <f>SUM(F32:G32)</f>
        <v>109125435.25999987</v>
      </c>
      <c r="I32" s="141">
        <f>+H32*100/$H$18</f>
        <v>11.515814914582908</v>
      </c>
    </row>
    <row r="33" ht="19.5" thickTop="1"/>
  </sheetData>
  <sheetProtection/>
  <mergeCells count="4">
    <mergeCell ref="A1:H1"/>
    <mergeCell ref="A2:H2"/>
    <mergeCell ref="A3:H3"/>
    <mergeCell ref="F6:H6"/>
  </mergeCells>
  <printOptions/>
  <pageMargins left="0.6692913385826772" right="0.1574803149606299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39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10.421875" style="21" customWidth="1"/>
    <col min="2" max="2" width="3.7109375" style="21" customWidth="1"/>
    <col min="3" max="3" width="4.00390625" style="21" customWidth="1"/>
    <col min="4" max="9" width="9.00390625" style="21" customWidth="1"/>
    <col min="10" max="10" width="16.28125" style="21" customWidth="1"/>
    <col min="11" max="13" width="1.7109375" style="21" customWidth="1"/>
    <col min="14" max="16384" width="9.00390625" style="21" customWidth="1"/>
  </cols>
  <sheetData>
    <row r="1" spans="1:13" ht="18.75">
      <c r="A1" s="323" t="s">
        <v>390</v>
      </c>
      <c r="B1" s="323"/>
      <c r="C1" s="323"/>
      <c r="D1" s="323"/>
      <c r="E1" s="323"/>
      <c r="F1" s="323"/>
      <c r="G1" s="323"/>
      <c r="H1" s="323"/>
      <c r="I1" s="323"/>
      <c r="J1" s="323"/>
      <c r="K1" s="138"/>
      <c r="L1" s="138"/>
      <c r="M1" s="138"/>
    </row>
    <row r="2" spans="1:10" ht="18.75">
      <c r="A2" s="324" t="s">
        <v>393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8.75">
      <c r="A3" s="325" t="s">
        <v>342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7" ht="18.75">
      <c r="A4" s="136"/>
      <c r="B4" s="16"/>
      <c r="C4" s="16"/>
      <c r="D4" s="15"/>
      <c r="E4" s="33"/>
      <c r="F4" s="6"/>
      <c r="G4" s="6"/>
    </row>
    <row r="5" spans="1:7" ht="18.75">
      <c r="A5" s="326" t="s">
        <v>163</v>
      </c>
      <c r="B5" s="327"/>
      <c r="C5" s="327"/>
      <c r="D5" s="327"/>
      <c r="E5" s="327"/>
      <c r="F5" s="6"/>
      <c r="G5" s="6"/>
    </row>
    <row r="6" spans="2:4" ht="18.75">
      <c r="B6" s="10" t="s">
        <v>164</v>
      </c>
      <c r="C6" s="7"/>
      <c r="D6" s="7"/>
    </row>
    <row r="7" spans="1:7" ht="18.75">
      <c r="A7" s="9"/>
      <c r="C7" s="10" t="s">
        <v>165</v>
      </c>
      <c r="D7" s="8"/>
      <c r="E7" s="1"/>
      <c r="F7" s="1"/>
      <c r="G7" s="4"/>
    </row>
    <row r="8" spans="1:7" ht="18.75">
      <c r="A8" s="9"/>
      <c r="B8" s="10" t="s">
        <v>166</v>
      </c>
      <c r="D8" s="8"/>
      <c r="E8" s="1"/>
      <c r="F8" s="1"/>
      <c r="G8" s="4"/>
    </row>
    <row r="9" spans="2:7" ht="18.75">
      <c r="B9" s="9" t="s">
        <v>167</v>
      </c>
      <c r="C9" s="11"/>
      <c r="D9" s="8"/>
      <c r="E9" s="1"/>
      <c r="F9" s="1"/>
      <c r="G9" s="4"/>
    </row>
    <row r="10" spans="1:7" ht="18.75">
      <c r="A10" s="9"/>
      <c r="C10" s="9" t="s">
        <v>168</v>
      </c>
      <c r="D10" s="8"/>
      <c r="E10" s="1"/>
      <c r="F10" s="1"/>
      <c r="G10" s="4"/>
    </row>
    <row r="11" spans="1:7" ht="18.75">
      <c r="A11" s="9"/>
      <c r="B11" s="9" t="s">
        <v>169</v>
      </c>
      <c r="C11" s="11"/>
      <c r="D11" s="8"/>
      <c r="E11" s="1"/>
      <c r="F11" s="1"/>
      <c r="G11" s="4"/>
    </row>
    <row r="12" spans="1:7" ht="18.75">
      <c r="A12" s="9"/>
      <c r="B12" s="9" t="s">
        <v>170</v>
      </c>
      <c r="C12" s="11"/>
      <c r="D12" s="8"/>
      <c r="E12" s="1"/>
      <c r="F12" s="1"/>
      <c r="G12" s="4"/>
    </row>
    <row r="13" spans="1:7" ht="18.75">
      <c r="A13" s="9"/>
      <c r="B13" s="9" t="s">
        <v>171</v>
      </c>
      <c r="C13" s="11"/>
      <c r="D13" s="8"/>
      <c r="E13" s="1"/>
      <c r="F13" s="1"/>
      <c r="G13" s="4"/>
    </row>
    <row r="14" spans="2:7" ht="18.75">
      <c r="B14" s="9" t="s">
        <v>172</v>
      </c>
      <c r="C14" s="11"/>
      <c r="D14" s="8"/>
      <c r="E14" s="1"/>
      <c r="F14" s="1"/>
      <c r="G14" s="4"/>
    </row>
    <row r="15" spans="1:7" ht="18.75">
      <c r="A15" s="9"/>
      <c r="C15" s="12" t="s">
        <v>173</v>
      </c>
      <c r="D15" s="8"/>
      <c r="E15" s="1"/>
      <c r="F15" s="1"/>
      <c r="G15" s="4"/>
    </row>
    <row r="16" spans="1:7" ht="18.75">
      <c r="A16" s="9"/>
      <c r="C16" s="12" t="s">
        <v>174</v>
      </c>
      <c r="D16" s="8"/>
      <c r="E16" s="1"/>
      <c r="F16" s="1"/>
      <c r="G16" s="4"/>
    </row>
    <row r="17" spans="1:7" ht="18.75">
      <c r="A17" s="9"/>
      <c r="C17" s="12" t="s">
        <v>175</v>
      </c>
      <c r="D17" s="8"/>
      <c r="E17" s="1"/>
      <c r="F17" s="1"/>
      <c r="G17" s="4"/>
    </row>
    <row r="18" spans="1:7" ht="18.75">
      <c r="A18" s="9"/>
      <c r="C18" s="11" t="s">
        <v>176</v>
      </c>
      <c r="D18" s="8"/>
      <c r="E18" s="1"/>
      <c r="F18" s="1"/>
      <c r="G18" s="4"/>
    </row>
    <row r="19" spans="1:7" ht="18.75">
      <c r="A19" s="9"/>
      <c r="C19" s="11" t="s">
        <v>177</v>
      </c>
      <c r="D19" s="8"/>
      <c r="E19" s="1"/>
      <c r="F19" s="1"/>
      <c r="G19" s="4"/>
    </row>
    <row r="20" spans="2:7" ht="18.75">
      <c r="B20" s="9" t="s">
        <v>178</v>
      </c>
      <c r="C20" s="11"/>
      <c r="D20" s="8"/>
      <c r="E20" s="1"/>
      <c r="F20" s="5"/>
      <c r="G20" s="4"/>
    </row>
    <row r="21" spans="1:7" ht="18.75">
      <c r="A21" s="9"/>
      <c r="C21" s="9" t="s">
        <v>179</v>
      </c>
      <c r="D21" s="8"/>
      <c r="E21" s="1"/>
      <c r="F21" s="1"/>
      <c r="G21" s="4"/>
    </row>
    <row r="22" spans="2:7" ht="18.75">
      <c r="B22" s="9" t="s">
        <v>180</v>
      </c>
      <c r="C22" s="11"/>
      <c r="D22" s="8"/>
      <c r="E22" s="1"/>
      <c r="F22" s="1"/>
      <c r="G22" s="4"/>
    </row>
    <row r="23" spans="1:7" ht="18.75">
      <c r="A23" s="9"/>
      <c r="C23" s="9" t="s">
        <v>181</v>
      </c>
      <c r="D23" s="8"/>
      <c r="E23" s="1"/>
      <c r="F23" s="1"/>
      <c r="G23" s="4"/>
    </row>
    <row r="24" spans="2:7" ht="18.75">
      <c r="B24" s="9" t="s">
        <v>182</v>
      </c>
      <c r="C24" s="11"/>
      <c r="D24" s="8"/>
      <c r="E24" s="1"/>
      <c r="F24" s="1"/>
      <c r="G24" s="4"/>
    </row>
    <row r="25" spans="1:7" ht="18.75">
      <c r="A25" s="9"/>
      <c r="C25" s="13" t="s">
        <v>183</v>
      </c>
      <c r="D25" s="8"/>
      <c r="E25" s="1"/>
      <c r="F25" s="1"/>
      <c r="G25" s="4"/>
    </row>
    <row r="26" spans="1:7" ht="18.75">
      <c r="A26" s="9"/>
      <c r="C26" s="13" t="s">
        <v>184</v>
      </c>
      <c r="D26" s="8"/>
      <c r="E26" s="1"/>
      <c r="F26" s="1"/>
      <c r="G26" s="4"/>
    </row>
    <row r="27" spans="1:7" ht="18.75">
      <c r="A27" s="9"/>
      <c r="B27" s="13" t="s">
        <v>185</v>
      </c>
      <c r="C27" s="14"/>
      <c r="D27" s="8"/>
      <c r="E27" s="1"/>
      <c r="F27" s="1"/>
      <c r="G27" s="4"/>
    </row>
    <row r="28" spans="1:7" ht="18.75">
      <c r="A28" s="9"/>
      <c r="C28" s="13" t="s">
        <v>186</v>
      </c>
      <c r="D28" s="8"/>
      <c r="E28" s="1"/>
      <c r="F28" s="1"/>
      <c r="G28" s="4"/>
    </row>
    <row r="29" spans="1:7" ht="18.75">
      <c r="A29" s="9"/>
      <c r="D29" s="13" t="s">
        <v>187</v>
      </c>
      <c r="E29" s="1"/>
      <c r="F29" s="1"/>
      <c r="G29" s="4"/>
    </row>
    <row r="30" spans="1:7" ht="18.75">
      <c r="A30" s="9"/>
      <c r="C30" s="14"/>
      <c r="D30" s="13" t="s">
        <v>188</v>
      </c>
      <c r="E30" s="1"/>
      <c r="F30" s="1"/>
      <c r="G30" s="4"/>
    </row>
    <row r="31" spans="1:7" ht="18.75">
      <c r="A31" s="9"/>
      <c r="C31" s="14"/>
      <c r="D31" s="13" t="s">
        <v>189</v>
      </c>
      <c r="E31" s="1"/>
      <c r="F31" s="1"/>
      <c r="G31" s="4"/>
    </row>
    <row r="32" spans="2:7" ht="18.75">
      <c r="B32" s="9" t="s">
        <v>190</v>
      </c>
      <c r="C32" s="14"/>
      <c r="D32" s="8"/>
      <c r="E32" s="1"/>
      <c r="F32" s="1"/>
      <c r="G32" s="4"/>
    </row>
    <row r="33" spans="1:7" ht="18.75">
      <c r="A33" s="9"/>
      <c r="C33" s="13" t="s">
        <v>191</v>
      </c>
      <c r="D33" s="8"/>
      <c r="E33" s="1"/>
      <c r="F33" s="1"/>
      <c r="G33" s="4"/>
    </row>
    <row r="34" spans="2:7" ht="18.75">
      <c r="B34" s="9" t="s">
        <v>192</v>
      </c>
      <c r="C34" s="14"/>
      <c r="D34" s="8"/>
      <c r="E34" s="1"/>
      <c r="F34" s="1"/>
      <c r="G34" s="4"/>
    </row>
    <row r="35" spans="1:7" ht="18.75">
      <c r="A35" s="9"/>
      <c r="C35" s="13" t="s">
        <v>193</v>
      </c>
      <c r="D35" s="8"/>
      <c r="E35" s="1"/>
      <c r="F35" s="1"/>
      <c r="G35" s="4"/>
    </row>
    <row r="36" spans="1:7" ht="18.75">
      <c r="A36" s="9"/>
      <c r="C36" s="13" t="s">
        <v>194</v>
      </c>
      <c r="D36" s="8"/>
      <c r="E36" s="1"/>
      <c r="F36" s="1"/>
      <c r="G36" s="4"/>
    </row>
    <row r="37" spans="1:8" ht="18.75">
      <c r="A37" s="9"/>
      <c r="B37" s="13"/>
      <c r="D37" s="122" t="s">
        <v>195</v>
      </c>
      <c r="E37" s="123"/>
      <c r="F37" s="123"/>
      <c r="G37" s="115"/>
      <c r="H37" s="124"/>
    </row>
    <row r="38" spans="1:8" ht="18.75">
      <c r="A38" s="9"/>
      <c r="B38" s="13"/>
      <c r="D38" s="122" t="s">
        <v>375</v>
      </c>
      <c r="E38" s="123"/>
      <c r="F38" s="123"/>
      <c r="G38" s="115"/>
      <c r="H38" s="124"/>
    </row>
    <row r="39" spans="1:8" ht="18.75">
      <c r="A39" s="9"/>
      <c r="B39" s="13"/>
      <c r="D39" s="122" t="s">
        <v>376</v>
      </c>
      <c r="E39" s="123"/>
      <c r="F39" s="123"/>
      <c r="G39" s="115"/>
      <c r="H39" s="124"/>
    </row>
  </sheetData>
  <sheetProtection/>
  <mergeCells count="4">
    <mergeCell ref="A1:J1"/>
    <mergeCell ref="A2:J2"/>
    <mergeCell ref="A3:J3"/>
    <mergeCell ref="A5:E5"/>
  </mergeCells>
  <printOptions/>
  <pageMargins left="0.5118110236220472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H21"/>
  <sheetViews>
    <sheetView view="pageBreakPreview" zoomScaleSheetLayoutView="100" zoomScalePageLayoutView="0" workbookViewId="0" topLeftCell="A10">
      <selection activeCell="G17" sqref="G17"/>
    </sheetView>
  </sheetViews>
  <sheetFormatPr defaultColWidth="9.140625" defaultRowHeight="15"/>
  <cols>
    <col min="1" max="7" width="9.00390625" style="52" customWidth="1"/>
    <col min="8" max="8" width="19.00390625" style="52" customWidth="1"/>
    <col min="9" max="16384" width="9.00390625" style="52" customWidth="1"/>
  </cols>
  <sheetData>
    <row r="1" ht="34.5" customHeight="1"/>
    <row r="2" ht="34.5" customHeight="1"/>
    <row r="3" ht="34.5" customHeight="1"/>
    <row r="4" ht="34.5" customHeight="1"/>
    <row r="5" ht="34.5" customHeight="1"/>
    <row r="6" ht="34.5" customHeight="1"/>
    <row r="7" spans="4:5" ht="34.5" customHeight="1">
      <c r="D7" s="76"/>
      <c r="E7" s="77"/>
    </row>
    <row r="8" ht="34.5" customHeight="1"/>
    <row r="9" spans="1:8" s="53" customFormat="1" ht="38.25">
      <c r="A9" s="320" t="s">
        <v>499</v>
      </c>
      <c r="B9" s="320"/>
      <c r="C9" s="320"/>
      <c r="D9" s="320"/>
      <c r="E9" s="320"/>
      <c r="F9" s="320"/>
      <c r="G9" s="320"/>
      <c r="H9" s="320"/>
    </row>
    <row r="10" spans="1:8" s="53" customFormat="1" ht="38.25">
      <c r="A10" s="320" t="s">
        <v>501</v>
      </c>
      <c r="B10" s="320"/>
      <c r="C10" s="320"/>
      <c r="D10" s="320"/>
      <c r="E10" s="320"/>
      <c r="F10" s="320"/>
      <c r="G10" s="320"/>
      <c r="H10" s="320"/>
    </row>
    <row r="11" spans="1:8" s="53" customFormat="1" ht="38.25">
      <c r="A11" s="320" t="s">
        <v>498</v>
      </c>
      <c r="B11" s="320"/>
      <c r="C11" s="320"/>
      <c r="D11" s="320"/>
      <c r="E11" s="320"/>
      <c r="F11" s="320"/>
      <c r="G11" s="320"/>
      <c r="H11" s="320"/>
    </row>
    <row r="12" spans="1:8" s="53" customFormat="1" ht="38.25">
      <c r="A12" s="320" t="s">
        <v>500</v>
      </c>
      <c r="B12" s="320"/>
      <c r="C12" s="320"/>
      <c r="D12" s="320"/>
      <c r="E12" s="320"/>
      <c r="F12" s="320"/>
      <c r="G12" s="320"/>
      <c r="H12" s="320"/>
    </row>
    <row r="13" spans="1:8" s="53" customFormat="1" ht="33.75">
      <c r="A13" s="319"/>
      <c r="B13" s="319"/>
      <c r="C13" s="319"/>
      <c r="D13" s="319"/>
      <c r="E13" s="319"/>
      <c r="F13" s="319"/>
      <c r="G13" s="319"/>
      <c r="H13" s="319"/>
    </row>
    <row r="14" spans="1:8" s="53" customFormat="1" ht="33.75">
      <c r="A14" s="56"/>
      <c r="B14" s="56"/>
      <c r="C14" s="56"/>
      <c r="D14" s="56"/>
      <c r="E14" s="56"/>
      <c r="F14" s="56"/>
      <c r="G14" s="56"/>
      <c r="H14" s="56"/>
    </row>
    <row r="15" s="53" customFormat="1" ht="33.75"/>
    <row r="16" spans="1:8" s="53" customFormat="1" ht="33.75">
      <c r="A16" s="139"/>
      <c r="B16" s="139"/>
      <c r="C16" s="139"/>
      <c r="D16" s="139"/>
      <c r="E16" s="139"/>
      <c r="F16" s="139"/>
      <c r="G16" s="139"/>
      <c r="H16" s="139"/>
    </row>
    <row r="17" spans="1:8" s="53" customFormat="1" ht="33.75">
      <c r="A17" s="56"/>
      <c r="B17" s="56"/>
      <c r="C17" s="56"/>
      <c r="D17" s="56"/>
      <c r="E17" s="56"/>
      <c r="F17" s="56"/>
      <c r="G17" s="56"/>
      <c r="H17" s="56"/>
    </row>
    <row r="18" s="54" customFormat="1" ht="26.25"/>
    <row r="19" s="53" customFormat="1" ht="33.75"/>
    <row r="20" s="53" customFormat="1" ht="33.75"/>
    <row r="21" s="55" customFormat="1" ht="21">
      <c r="H21" s="147"/>
    </row>
    <row r="22" s="55" customFormat="1" ht="21"/>
    <row r="23" s="55" customFormat="1" ht="21"/>
    <row r="24" s="55" customFormat="1" ht="21"/>
    <row r="25" s="55" customFormat="1" ht="21"/>
    <row r="26" s="55" customFormat="1" ht="21"/>
    <row r="27" s="55" customFormat="1" ht="21"/>
    <row r="28" s="55" customFormat="1" ht="21"/>
    <row r="29" s="55" customFormat="1" ht="21"/>
    <row r="30" s="55" customFormat="1" ht="21"/>
    <row r="31" s="55" customFormat="1" ht="21"/>
    <row r="32" s="55" customFormat="1" ht="21"/>
    <row r="33" s="55" customFormat="1" ht="21"/>
    <row r="34" s="55" customFormat="1" ht="21"/>
    <row r="35" s="55" customFormat="1" ht="21"/>
    <row r="36" s="55" customFormat="1" ht="21"/>
    <row r="37" s="55" customFormat="1" ht="21"/>
    <row r="38" s="55" customFormat="1" ht="21"/>
    <row r="39" s="55" customFormat="1" ht="21"/>
  </sheetData>
  <sheetProtection/>
  <mergeCells count="5">
    <mergeCell ref="A9:H9"/>
    <mergeCell ref="A10:H10"/>
    <mergeCell ref="A11:H11"/>
    <mergeCell ref="A12:H12"/>
    <mergeCell ref="A13:H13"/>
  </mergeCells>
  <printOptions/>
  <pageMargins left="0.97" right="0.17" top="0.75" bottom="0.27" header="0.3" footer="0.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3" sqref="M13"/>
    </sheetView>
  </sheetViews>
  <sheetFormatPr defaultColWidth="11.00390625" defaultRowHeight="15"/>
  <cols>
    <col min="1" max="2" width="3.421875" style="41" customWidth="1"/>
    <col min="3" max="3" width="27.7109375" style="41" bestFit="1" customWidth="1"/>
    <col min="4" max="4" width="7.00390625" style="3" bestFit="1" customWidth="1"/>
    <col min="5" max="5" width="14.57421875" style="41" bestFit="1" customWidth="1"/>
    <col min="6" max="6" width="14.28125" style="41" bestFit="1" customWidth="1"/>
    <col min="7" max="7" width="14.28125" style="41" customWidth="1"/>
    <col min="8" max="8" width="4.57421875" style="41" customWidth="1"/>
    <col min="9" max="9" width="14.57421875" style="41" bestFit="1" customWidth="1"/>
    <col min="10" max="10" width="14.28125" style="41" bestFit="1" customWidth="1"/>
    <col min="11" max="11" width="14.421875" style="3" bestFit="1" customWidth="1"/>
    <col min="12" max="12" width="6.57421875" style="74" customWidth="1"/>
    <col min="13" max="13" width="14.7109375" style="4" customWidth="1"/>
    <col min="14" max="14" width="13.00390625" style="4" customWidth="1"/>
    <col min="15" max="15" width="12.57421875" style="41" customWidth="1"/>
    <col min="16" max="16" width="4.28125" style="41" customWidth="1"/>
    <col min="17" max="17" width="10.7109375" style="41" customWidth="1"/>
    <col min="18" max="18" width="13.00390625" style="41" bestFit="1" customWidth="1"/>
    <col min="19" max="16384" width="11.00390625" style="41" customWidth="1"/>
  </cols>
  <sheetData>
    <row r="1" spans="1:11" ht="18.75">
      <c r="A1" s="321" t="s">
        <v>501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8.75">
      <c r="A2" s="321" t="s">
        <v>321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8.75">
      <c r="A3" s="321" t="s">
        <v>496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ht="18.75">
      <c r="K4" s="108"/>
    </row>
    <row r="5" spans="4:14" s="3" customFormat="1" ht="18.75">
      <c r="D5" s="331" t="s">
        <v>55</v>
      </c>
      <c r="E5" s="330" t="s">
        <v>493</v>
      </c>
      <c r="F5" s="330"/>
      <c r="G5" s="149" t="s">
        <v>58</v>
      </c>
      <c r="H5" s="71"/>
      <c r="I5" s="330" t="s">
        <v>494</v>
      </c>
      <c r="J5" s="330"/>
      <c r="K5" s="149" t="s">
        <v>58</v>
      </c>
      <c r="L5" s="328" t="s">
        <v>495</v>
      </c>
      <c r="M5" s="40"/>
      <c r="N5" s="40"/>
    </row>
    <row r="6" spans="1:14" s="3" customFormat="1" ht="18.75">
      <c r="A6" s="3" t="s">
        <v>54</v>
      </c>
      <c r="D6" s="331"/>
      <c r="E6" s="150" t="s">
        <v>56</v>
      </c>
      <c r="F6" s="150" t="s">
        <v>57</v>
      </c>
      <c r="G6" s="152" t="s">
        <v>101</v>
      </c>
      <c r="H6" s="42"/>
      <c r="I6" s="151" t="s">
        <v>56</v>
      </c>
      <c r="J6" s="151" t="s">
        <v>57</v>
      </c>
      <c r="K6" s="152" t="s">
        <v>101</v>
      </c>
      <c r="L6" s="329"/>
      <c r="M6" s="40"/>
      <c r="N6" s="40"/>
    </row>
    <row r="7" spans="2:14" s="3" customFormat="1" ht="18.75">
      <c r="B7" s="3" t="s">
        <v>59</v>
      </c>
      <c r="D7" s="108"/>
      <c r="E7" s="66"/>
      <c r="F7" s="66"/>
      <c r="G7" s="66"/>
      <c r="H7" s="125"/>
      <c r="I7" s="66"/>
      <c r="J7" s="66"/>
      <c r="K7" s="66"/>
      <c r="L7" s="153"/>
      <c r="M7" s="40"/>
      <c r="N7" s="40"/>
    </row>
    <row r="8" spans="3:12" ht="18.75">
      <c r="C8" s="41" t="s">
        <v>60</v>
      </c>
      <c r="D8" s="72">
        <v>2</v>
      </c>
      <c r="E8" s="154">
        <f>'หมายเหตุ 2-29'!AM11</f>
        <v>159102.86999999988</v>
      </c>
      <c r="F8" s="154">
        <f>'หมายเหตุ 2-29'!AN11</f>
        <v>35616578.150000006</v>
      </c>
      <c r="G8" s="66">
        <f aca="true" t="shared" si="0" ref="G8:G13">SUM(E8:F8)</f>
        <v>35775681.02</v>
      </c>
      <c r="H8" s="2"/>
      <c r="I8" s="154">
        <f>'หมายเหตุ 2-29'!AP11</f>
        <v>375052.87</v>
      </c>
      <c r="J8" s="154">
        <f>'หมายเหตุ 2-29'!AQ11</f>
        <v>31123705.419999998</v>
      </c>
      <c r="K8" s="66">
        <f>SUM(I8:J8)</f>
        <v>31498758.29</v>
      </c>
      <c r="L8" s="153">
        <f aca="true" t="shared" si="1" ref="L8:L13">(G8-K8)*100/K8</f>
        <v>13.57806771499882</v>
      </c>
    </row>
    <row r="9" spans="3:12" ht="18.75">
      <c r="C9" s="41" t="s">
        <v>61</v>
      </c>
      <c r="D9" s="72">
        <v>3</v>
      </c>
      <c r="E9" s="154">
        <f>'หมายเหตุ 2-29'!AM17</f>
        <v>1480</v>
      </c>
      <c r="F9" s="154">
        <f>'หมายเหตุ 2-29'!AN17</f>
        <v>0</v>
      </c>
      <c r="G9" s="66">
        <f t="shared" si="0"/>
        <v>1480</v>
      </c>
      <c r="H9" s="2"/>
      <c r="I9" s="154">
        <f>'หมายเหตุ 2-29'!AP17</f>
        <v>25770</v>
      </c>
      <c r="J9" s="154">
        <f>'หมายเหตุ 2-29'!AQ17</f>
        <v>0</v>
      </c>
      <c r="K9" s="66">
        <f>SUM(I9:J9)</f>
        <v>25770</v>
      </c>
      <c r="L9" s="153">
        <f t="shared" si="1"/>
        <v>-94.2568878540939</v>
      </c>
    </row>
    <row r="10" spans="3:12" ht="18.75">
      <c r="C10" s="41" t="s">
        <v>304</v>
      </c>
      <c r="D10" s="83">
        <v>4</v>
      </c>
      <c r="E10" s="154">
        <f>'หมายเหตุ 2-29'!AM22</f>
        <v>0</v>
      </c>
      <c r="F10" s="154">
        <f>'หมายเหตุ 2-29'!AN22</f>
        <v>0</v>
      </c>
      <c r="G10" s="66">
        <f t="shared" si="0"/>
        <v>0</v>
      </c>
      <c r="H10" s="2"/>
      <c r="I10" s="154">
        <f>'หมายเหตุ 2-29'!AP22</f>
        <v>0</v>
      </c>
      <c r="J10" s="154">
        <f>'หมายเหตุ 2-29'!AQ22</f>
        <v>0</v>
      </c>
      <c r="K10" s="66">
        <f>SUM(I10:J10)</f>
        <v>0</v>
      </c>
      <c r="L10" s="153">
        <v>0</v>
      </c>
    </row>
    <row r="11" spans="3:12" ht="18.75" hidden="1">
      <c r="C11" s="41" t="s">
        <v>305</v>
      </c>
      <c r="D11" s="72">
        <v>5</v>
      </c>
      <c r="E11" s="154"/>
      <c r="F11" s="154">
        <v>0</v>
      </c>
      <c r="G11" s="66">
        <f t="shared" si="0"/>
        <v>0</v>
      </c>
      <c r="H11" s="2"/>
      <c r="I11" s="154"/>
      <c r="J11" s="154"/>
      <c r="K11" s="66"/>
      <c r="L11" s="153" t="e">
        <f t="shared" si="1"/>
        <v>#DIV/0!</v>
      </c>
    </row>
    <row r="12" spans="3:12" ht="18.75">
      <c r="C12" s="41" t="s">
        <v>62</v>
      </c>
      <c r="D12" s="72">
        <v>5</v>
      </c>
      <c r="E12" s="154">
        <f>'หมายเหตุ 2-29'!AM31</f>
        <v>0</v>
      </c>
      <c r="F12" s="154">
        <f>'หมายเหตุ 2-29'!AN31</f>
        <v>3524923.06</v>
      </c>
      <c r="G12" s="66">
        <f t="shared" si="0"/>
        <v>3524923.06</v>
      </c>
      <c r="H12" s="2"/>
      <c r="I12" s="154">
        <f>'หมายเหตุ 2-29'!AP31</f>
        <v>0</v>
      </c>
      <c r="J12" s="154">
        <f>'หมายเหตุ 2-29'!AQ31</f>
        <v>3522960.12</v>
      </c>
      <c r="K12" s="66">
        <f>SUM(I12:J12)</f>
        <v>3522960.12</v>
      </c>
      <c r="L12" s="153">
        <f t="shared" si="1"/>
        <v>0.05571848482917099</v>
      </c>
    </row>
    <row r="13" spans="3:14" s="3" customFormat="1" ht="18.75">
      <c r="C13" s="3" t="s">
        <v>63</v>
      </c>
      <c r="D13" s="78"/>
      <c r="E13" s="66">
        <f>SUM(E8:E12)</f>
        <v>160582.86999999988</v>
      </c>
      <c r="F13" s="66">
        <f>SUM(F8:F12)</f>
        <v>39141501.21000001</v>
      </c>
      <c r="G13" s="66">
        <f t="shared" si="0"/>
        <v>39302084.080000006</v>
      </c>
      <c r="H13" s="125"/>
      <c r="I13" s="66">
        <f>SUM(I8:I12)</f>
        <v>400822.87</v>
      </c>
      <c r="J13" s="66">
        <f>SUM(J8:J12)</f>
        <v>34646665.54</v>
      </c>
      <c r="K13" s="66">
        <f>SUM(I13:J13)</f>
        <v>35047488.41</v>
      </c>
      <c r="L13" s="153">
        <f t="shared" si="1"/>
        <v>12.139516590256031</v>
      </c>
      <c r="M13" s="47"/>
      <c r="N13" s="75"/>
    </row>
    <row r="14" spans="2:14" s="3" customFormat="1" ht="18.75">
      <c r="B14" s="3" t="s">
        <v>64</v>
      </c>
      <c r="D14" s="108"/>
      <c r="E14" s="66"/>
      <c r="F14" s="66"/>
      <c r="G14" s="66"/>
      <c r="H14" s="125"/>
      <c r="I14" s="66"/>
      <c r="J14" s="66"/>
      <c r="K14" s="66"/>
      <c r="L14" s="153"/>
      <c r="M14" s="40"/>
      <c r="N14" s="40"/>
    </row>
    <row r="15" spans="3:12" ht="18.75">
      <c r="C15" s="41" t="s">
        <v>65</v>
      </c>
      <c r="D15" s="72">
        <v>6</v>
      </c>
      <c r="E15" s="154">
        <f>'หมายเหตุ 2-29'!AM36</f>
        <v>0</v>
      </c>
      <c r="F15" s="154">
        <f>'หมายเหตุ 2-29'!AN36</f>
        <v>0</v>
      </c>
      <c r="G15" s="66">
        <f>SUM(E15:F15)</f>
        <v>0</v>
      </c>
      <c r="H15" s="2"/>
      <c r="I15" s="154">
        <f>'หมายเหตุ 2-29'!AP36</f>
        <v>0</v>
      </c>
      <c r="J15" s="154">
        <f>'หมายเหตุ 2-29'!AQ36</f>
        <v>0</v>
      </c>
      <c r="K15" s="66">
        <f>SUM(I15:J15)</f>
        <v>0</v>
      </c>
      <c r="L15" s="153">
        <v>0</v>
      </c>
    </row>
    <row r="16" spans="3:12" ht="18.75">
      <c r="C16" s="41" t="s">
        <v>378</v>
      </c>
      <c r="D16" s="72">
        <v>7</v>
      </c>
      <c r="E16" s="154">
        <f>'หมายเหตุ 2-29'!AM45</f>
        <v>251671580.41000003</v>
      </c>
      <c r="F16" s="154">
        <f>'หมายเหตุ 2-29'!AN45</f>
        <v>8506604.97999999</v>
      </c>
      <c r="G16" s="66">
        <f>SUM(E16:F16)</f>
        <v>260178185.39000002</v>
      </c>
      <c r="H16" s="2"/>
      <c r="I16" s="154">
        <f>'หมายเหตุ 2-29'!AP45</f>
        <v>245025360.29000002</v>
      </c>
      <c r="J16" s="154">
        <f>'หมายเหตุ 2-29'!AQ45</f>
        <v>9182539.639999993</v>
      </c>
      <c r="K16" s="66">
        <f>SUM(I16:J16)</f>
        <v>254207899.93</v>
      </c>
      <c r="L16" s="153">
        <f>(G16-K16)*100/K16</f>
        <v>2.348583762205666</v>
      </c>
    </row>
    <row r="17" spans="3:12" ht="18.75">
      <c r="C17" s="41" t="s">
        <v>379</v>
      </c>
      <c r="D17" s="72">
        <v>8</v>
      </c>
      <c r="E17" s="154">
        <f>'หมายเหตุ 2-29'!AM50</f>
        <v>0</v>
      </c>
      <c r="F17" s="154">
        <f>'หมายเหตุ 2-29'!AN50</f>
        <v>0</v>
      </c>
      <c r="G17" s="66">
        <f>SUM(E17:F17)</f>
        <v>0</v>
      </c>
      <c r="H17" s="2"/>
      <c r="I17" s="154">
        <f>'หมายเหตุ 2-29'!AP50</f>
        <v>0</v>
      </c>
      <c r="J17" s="154">
        <f>'หมายเหตุ 2-29'!AQ50</f>
        <v>0</v>
      </c>
      <c r="K17" s="66">
        <f>SUM(I17:J17)</f>
        <v>0</v>
      </c>
      <c r="L17" s="153">
        <v>0</v>
      </c>
    </row>
    <row r="18" spans="3:14" s="3" customFormat="1" ht="18.75">
      <c r="C18" s="3" t="s">
        <v>66</v>
      </c>
      <c r="D18" s="78"/>
      <c r="E18" s="155">
        <f>SUM(E15:E17)</f>
        <v>251671580.41000003</v>
      </c>
      <c r="F18" s="155">
        <f>SUM(F15:F17)</f>
        <v>8506604.97999999</v>
      </c>
      <c r="G18" s="155">
        <f>SUM(E18:F18)</f>
        <v>260178185.39000002</v>
      </c>
      <c r="H18" s="157"/>
      <c r="I18" s="155">
        <f>SUM(I15:I17)</f>
        <v>245025360.29000002</v>
      </c>
      <c r="J18" s="155">
        <f>SUM(J15:J17)</f>
        <v>9182539.639999993</v>
      </c>
      <c r="K18" s="155">
        <f>SUM(I18:J18)</f>
        <v>254207899.93</v>
      </c>
      <c r="L18" s="153">
        <f>(G18-K18)*100/K18</f>
        <v>2.348583762205666</v>
      </c>
      <c r="M18" s="47"/>
      <c r="N18" s="75"/>
    </row>
    <row r="19" spans="1:14" s="3" customFormat="1" ht="19.5" thickBot="1">
      <c r="A19" s="3" t="s">
        <v>67</v>
      </c>
      <c r="D19" s="72"/>
      <c r="E19" s="156">
        <f>SUM(E13+E18)</f>
        <v>251832163.28000003</v>
      </c>
      <c r="F19" s="156">
        <f>SUM(F13+F18)</f>
        <v>47648106.19</v>
      </c>
      <c r="G19" s="156">
        <f>SUM(E19:F19)</f>
        <v>299480269.47</v>
      </c>
      <c r="H19" s="125"/>
      <c r="I19" s="156">
        <f>+I13+I18</f>
        <v>245426183.16000003</v>
      </c>
      <c r="J19" s="156">
        <f>+J13+J18</f>
        <v>43829205.17999999</v>
      </c>
      <c r="K19" s="156">
        <f>+K13+K18</f>
        <v>289255388.34000003</v>
      </c>
      <c r="L19" s="295">
        <f>(G19-K19)*100/K19</f>
        <v>3.534897375180905</v>
      </c>
      <c r="M19" s="47"/>
      <c r="N19" s="40"/>
    </row>
    <row r="20" spans="4:14" s="3" customFormat="1" ht="19.5" thickTop="1">
      <c r="D20" s="72"/>
      <c r="E20" s="2"/>
      <c r="F20" s="2"/>
      <c r="G20" s="2"/>
      <c r="H20" s="2"/>
      <c r="I20" s="2"/>
      <c r="J20" s="2"/>
      <c r="K20" s="125"/>
      <c r="L20" s="74"/>
      <c r="M20" s="40"/>
      <c r="N20" s="40"/>
    </row>
    <row r="21" spans="1:14" s="3" customFormat="1" ht="18.75">
      <c r="A21" s="3" t="s">
        <v>68</v>
      </c>
      <c r="D21" s="72"/>
      <c r="E21" s="2"/>
      <c r="F21" s="2"/>
      <c r="G21" s="2"/>
      <c r="H21" s="2"/>
      <c r="I21" s="2"/>
      <c r="J21" s="2"/>
      <c r="K21" s="125"/>
      <c r="L21" s="74"/>
      <c r="M21" s="40"/>
      <c r="N21" s="40"/>
    </row>
    <row r="22" spans="2:14" s="3" customFormat="1" ht="18.75">
      <c r="B22" s="3" t="s">
        <v>69</v>
      </c>
      <c r="D22" s="108"/>
      <c r="E22" s="125"/>
      <c r="F22" s="125"/>
      <c r="G22" s="125"/>
      <c r="H22" s="125"/>
      <c r="I22" s="125"/>
      <c r="J22" s="125"/>
      <c r="K22" s="125"/>
      <c r="L22" s="74"/>
      <c r="M22" s="40"/>
      <c r="N22" s="40"/>
    </row>
    <row r="23" spans="3:12" ht="18.75">
      <c r="C23" s="41" t="s">
        <v>70</v>
      </c>
      <c r="D23" s="72">
        <v>9</v>
      </c>
      <c r="E23" s="154">
        <f>'หมายเหตุ 2-29'!AM57</f>
        <v>857458.69</v>
      </c>
      <c r="F23" s="154">
        <f>'หมายเหตุ 2-29'!AN57</f>
        <v>1313090.5</v>
      </c>
      <c r="G23" s="154">
        <f>SUM(E23:F23)</f>
        <v>2170549.19</v>
      </c>
      <c r="H23" s="2"/>
      <c r="I23" s="154">
        <f>'หมายเหตุ 2-29'!AP57</f>
        <v>760507.02</v>
      </c>
      <c r="J23" s="154">
        <f>'หมายเหตุ 2-29'!AQ57</f>
        <v>2020500.83</v>
      </c>
      <c r="K23" s="66">
        <f>SUM(I23:J23)</f>
        <v>2781007.85</v>
      </c>
      <c r="L23" s="153">
        <f>(G23-K23)*100/K23</f>
        <v>-21.950986582076716</v>
      </c>
    </row>
    <row r="24" spans="3:12" ht="18.75">
      <c r="C24" s="41" t="s">
        <v>308</v>
      </c>
      <c r="D24" s="83">
        <v>10</v>
      </c>
      <c r="E24" s="154">
        <f>'หมายเหตุ 2-29'!AM64</f>
        <v>1480</v>
      </c>
      <c r="F24" s="154">
        <f>'หมายเหตุ 2-29'!AN64</f>
        <v>0</v>
      </c>
      <c r="G24" s="154">
        <f>SUM(E24:F24)</f>
        <v>1480</v>
      </c>
      <c r="H24" s="2"/>
      <c r="I24" s="154">
        <f>'หมายเหตุ 2-29'!AP64</f>
        <v>25770</v>
      </c>
      <c r="J24" s="154">
        <f>'หมายเหตุ 2-29'!AQ64</f>
        <v>0</v>
      </c>
      <c r="K24" s="66">
        <f>SUM(I24:J24)</f>
        <v>25770</v>
      </c>
      <c r="L24" s="153">
        <f>(G24-K24)*100/K24</f>
        <v>-94.2568878540939</v>
      </c>
    </row>
    <row r="25" spans="3:12" ht="18.75">
      <c r="C25" s="41" t="s">
        <v>71</v>
      </c>
      <c r="D25" s="72">
        <v>11</v>
      </c>
      <c r="E25" s="154">
        <f>'หมายเหตุ 2-29'!AM108</f>
        <v>0</v>
      </c>
      <c r="F25" s="154">
        <f>'หมายเหตุ 2-29'!AN108</f>
        <v>1147964.13</v>
      </c>
      <c r="G25" s="154">
        <f>SUM(E25:F25)</f>
        <v>1147964.13</v>
      </c>
      <c r="H25" s="2"/>
      <c r="I25" s="154">
        <f>'หมายเหตุ 2-29'!AP108</f>
        <v>0</v>
      </c>
      <c r="J25" s="154">
        <f>'หมายเหตุ 2-29'!AQ108</f>
        <v>1579801.1900000002</v>
      </c>
      <c r="K25" s="66">
        <f>SUM(I25:J25)</f>
        <v>1579801.1900000002</v>
      </c>
      <c r="L25" s="153">
        <f>(G25-K25)*100/K25</f>
        <v>-27.334899019793767</v>
      </c>
    </row>
    <row r="26" spans="3:12" ht="18.75">
      <c r="C26" s="41" t="s">
        <v>72</v>
      </c>
      <c r="D26" s="72">
        <v>12</v>
      </c>
      <c r="E26" s="154">
        <f>'หมายเหตุ 2-29'!AM113</f>
        <v>0</v>
      </c>
      <c r="F26" s="154">
        <f>'หมายเหตุ 2-29'!AN113</f>
        <v>0</v>
      </c>
      <c r="G26" s="154">
        <f>SUM(E26:F26)</f>
        <v>0</v>
      </c>
      <c r="H26" s="2"/>
      <c r="I26" s="154">
        <f>'หมายเหตุ 2-29'!AP113</f>
        <v>0</v>
      </c>
      <c r="J26" s="154">
        <f>'หมายเหตุ 2-29'!AQ113</f>
        <v>0</v>
      </c>
      <c r="K26" s="66">
        <f>SUM(I26:J26)</f>
        <v>0</v>
      </c>
      <c r="L26" s="153">
        <v>0</v>
      </c>
    </row>
    <row r="27" spans="3:14" s="3" customFormat="1" ht="18.75">
      <c r="C27" s="3" t="s">
        <v>73</v>
      </c>
      <c r="D27" s="72"/>
      <c r="E27" s="66">
        <f>SUM(E23:E26)</f>
        <v>858938.69</v>
      </c>
      <c r="F27" s="66">
        <f>SUM(F23:F26)</f>
        <v>2461054.63</v>
      </c>
      <c r="G27" s="66">
        <f>SUM(E27:F27)</f>
        <v>3319993.32</v>
      </c>
      <c r="H27" s="125"/>
      <c r="I27" s="66">
        <f>SUM(I23:I26)</f>
        <v>786277.02</v>
      </c>
      <c r="J27" s="66">
        <f>SUM(J23:J26)</f>
        <v>3600302.0200000005</v>
      </c>
      <c r="K27" s="66">
        <f>SUM(I27:J27)</f>
        <v>4386579.040000001</v>
      </c>
      <c r="L27" s="153">
        <f>(G27-K27)*100/K27</f>
        <v>-24.314749837495256</v>
      </c>
      <c r="M27" s="47"/>
      <c r="N27" s="40"/>
    </row>
    <row r="28" spans="4:14" s="3" customFormat="1" ht="18.75">
      <c r="D28" s="297"/>
      <c r="E28" s="66"/>
      <c r="F28" s="66"/>
      <c r="G28" s="66"/>
      <c r="H28" s="125"/>
      <c r="I28" s="66"/>
      <c r="J28" s="66"/>
      <c r="K28" s="66"/>
      <c r="L28" s="153"/>
      <c r="M28" s="47"/>
      <c r="N28" s="40"/>
    </row>
    <row r="29" spans="2:14" s="3" customFormat="1" ht="18.75">
      <c r="B29" s="3" t="s">
        <v>74</v>
      </c>
      <c r="D29" s="108"/>
      <c r="E29" s="66"/>
      <c r="F29" s="66"/>
      <c r="G29" s="66"/>
      <c r="H29" s="125"/>
      <c r="I29" s="66"/>
      <c r="J29" s="66"/>
      <c r="K29" s="66"/>
      <c r="L29" s="153"/>
      <c r="M29" s="40"/>
      <c r="N29" s="40"/>
    </row>
    <row r="30" spans="3:13" ht="18.75">
      <c r="C30" s="41" t="s">
        <v>266</v>
      </c>
      <c r="D30" s="72">
        <v>13</v>
      </c>
      <c r="E30" s="154">
        <f>'หมายเหตุ 2-29'!AM120</f>
        <v>0</v>
      </c>
      <c r="F30" s="154">
        <f>'หมายเหตุ 2-29'!AN120</f>
        <v>67008.4</v>
      </c>
      <c r="G30" s="154">
        <f>SUM(E30:F30)</f>
        <v>67008.4</v>
      </c>
      <c r="H30" s="2"/>
      <c r="I30" s="154">
        <f>'หมายเหตุ 2-29'!AP120</f>
        <v>0</v>
      </c>
      <c r="J30" s="154">
        <f>'หมายเหตุ 2-29'!AQ120</f>
        <v>0</v>
      </c>
      <c r="K30" s="66">
        <f>SUM(I30:J30)</f>
        <v>0</v>
      </c>
      <c r="L30" s="153">
        <v>100</v>
      </c>
      <c r="M30" s="73"/>
    </row>
    <row r="31" spans="2:12" ht="18.75">
      <c r="B31" s="3"/>
      <c r="C31" s="3" t="s">
        <v>75</v>
      </c>
      <c r="D31" s="72"/>
      <c r="E31" s="154">
        <f>E30</f>
        <v>0</v>
      </c>
      <c r="F31" s="154">
        <f>F30</f>
        <v>67008.4</v>
      </c>
      <c r="G31" s="154">
        <f>SUM(E31:F31)</f>
        <v>67008.4</v>
      </c>
      <c r="H31" s="2"/>
      <c r="I31" s="154">
        <f>I30</f>
        <v>0</v>
      </c>
      <c r="J31" s="154">
        <f>J30</f>
        <v>0</v>
      </c>
      <c r="K31" s="154">
        <f>K30</f>
        <v>0</v>
      </c>
      <c r="L31" s="153">
        <v>100</v>
      </c>
    </row>
    <row r="32" spans="2:14" s="3" customFormat="1" ht="18.75">
      <c r="B32" s="3" t="s">
        <v>76</v>
      </c>
      <c r="D32" s="72"/>
      <c r="E32" s="66">
        <f>E27+E31</f>
        <v>858938.69</v>
      </c>
      <c r="F32" s="66">
        <f>F27+F31</f>
        <v>2528063.03</v>
      </c>
      <c r="G32" s="66">
        <f>G27+G31</f>
        <v>3387001.7199999997</v>
      </c>
      <c r="H32" s="125"/>
      <c r="I32" s="66">
        <f>I27+I30</f>
        <v>786277.02</v>
      </c>
      <c r="J32" s="66">
        <f>J27+J30</f>
        <v>3600302.0200000005</v>
      </c>
      <c r="K32" s="66">
        <f>K27+K30</f>
        <v>4386579.040000001</v>
      </c>
      <c r="L32" s="153">
        <f>(G32-K32)*100/K32</f>
        <v>-22.787172210625457</v>
      </c>
      <c r="M32" s="47"/>
      <c r="N32" s="40"/>
    </row>
    <row r="33" spans="4:14" s="3" customFormat="1" ht="18.75">
      <c r="D33" s="72"/>
      <c r="E33" s="154"/>
      <c r="F33" s="154"/>
      <c r="G33" s="154"/>
      <c r="H33" s="2"/>
      <c r="I33" s="154"/>
      <c r="J33" s="154"/>
      <c r="K33" s="66"/>
      <c r="L33" s="153"/>
      <c r="M33" s="40"/>
      <c r="N33" s="40"/>
    </row>
    <row r="34" spans="1:14" s="3" customFormat="1" ht="18.75">
      <c r="A34" s="3" t="s">
        <v>377</v>
      </c>
      <c r="D34" s="72"/>
      <c r="E34" s="154"/>
      <c r="F34" s="154"/>
      <c r="G34" s="154"/>
      <c r="H34" s="2"/>
      <c r="I34" s="154"/>
      <c r="J34" s="154"/>
      <c r="K34" s="66"/>
      <c r="L34" s="153"/>
      <c r="M34" s="40"/>
      <c r="N34" s="40"/>
    </row>
    <row r="35" spans="3:13" s="43" customFormat="1" ht="18.75">
      <c r="C35" s="43" t="s">
        <v>77</v>
      </c>
      <c r="D35" s="71"/>
      <c r="E35" s="94">
        <f>'หมายเหตุ 2-29'!AM315</f>
        <v>161089724.84</v>
      </c>
      <c r="F35" s="94">
        <f>'หมายเหตุ 2-29'!AN315</f>
        <v>27893119.76</v>
      </c>
      <c r="G35" s="94">
        <f>SUM(E35:F35)</f>
        <v>188982844.6</v>
      </c>
      <c r="H35" s="45"/>
      <c r="I35" s="94">
        <f>'หมายเหตุ 2-29'!AP315</f>
        <v>0</v>
      </c>
      <c r="J35" s="94">
        <f>'หมายเหตุ 2-29'!AQ315</f>
        <v>188982844.6</v>
      </c>
      <c r="K35" s="18">
        <f>SUM(I35:J35)</f>
        <v>188982844.6</v>
      </c>
      <c r="L35" s="153">
        <f>(G35-K35)*100/K35</f>
        <v>0</v>
      </c>
      <c r="M35" s="46"/>
    </row>
    <row r="36" spans="3:14" s="43" customFormat="1" ht="18.75">
      <c r="C36" s="43" t="s">
        <v>78</v>
      </c>
      <c r="D36" s="71"/>
      <c r="E36" s="94">
        <v>81724781.3</v>
      </c>
      <c r="F36" s="94">
        <v>15088485.38</v>
      </c>
      <c r="G36" s="94">
        <f>SUM(E36:F36)</f>
        <v>96813266.67999999</v>
      </c>
      <c r="H36" s="45"/>
      <c r="I36" s="94">
        <f>'หมายเหตุ 2-29'!AP316</f>
        <v>222622855.19</v>
      </c>
      <c r="J36" s="94">
        <f>'หมายเหตุ 2-29'!AQ316</f>
        <v>-150476133.98</v>
      </c>
      <c r="K36" s="18">
        <f>SUM(I36:J36)</f>
        <v>72146721.21000001</v>
      </c>
      <c r="L36" s="153">
        <f>(G36-K36)*100/K36</f>
        <v>34.189419915843715</v>
      </c>
      <c r="M36" s="46"/>
      <c r="N36" s="2"/>
    </row>
    <row r="37" spans="3:12" s="4" customFormat="1" ht="18.75">
      <c r="C37" s="4" t="s">
        <v>79</v>
      </c>
      <c r="D37" s="65"/>
      <c r="E37" s="94">
        <f>งบรายได้คชจ_ชม!F43</f>
        <v>8158718.450000003</v>
      </c>
      <c r="F37" s="94">
        <f>งบรายได้คชจ_ชม!G43</f>
        <v>2138438.0200000033</v>
      </c>
      <c r="G37" s="94">
        <f>SUM(E37:F37)</f>
        <v>10297156.470000006</v>
      </c>
      <c r="H37" s="45"/>
      <c r="I37" s="94">
        <f>งบรายได้คชจ_ชม!J43</f>
        <v>22017050.949999988</v>
      </c>
      <c r="J37" s="94">
        <f>งบรายได้คชจ_ชม!K43</f>
        <v>1722192.539999999</v>
      </c>
      <c r="K37" s="18">
        <f>SUM(I37:J37)</f>
        <v>23739243.489999987</v>
      </c>
      <c r="L37" s="153">
        <f>(G37-K37)*100/K37</f>
        <v>-56.62390642592456</v>
      </c>
    </row>
    <row r="38" spans="2:14" s="3" customFormat="1" ht="18.75">
      <c r="B38" s="3" t="s">
        <v>218</v>
      </c>
      <c r="D38" s="72"/>
      <c r="E38" s="66">
        <f>SUM(E35:E37)</f>
        <v>250973224.58999997</v>
      </c>
      <c r="F38" s="66">
        <f>SUM(F35:F37)</f>
        <v>45120043.160000004</v>
      </c>
      <c r="G38" s="66">
        <f>SUM(E38:F38)</f>
        <v>296093267.75</v>
      </c>
      <c r="H38" s="125"/>
      <c r="I38" s="66">
        <f>SUM(I35:I37)</f>
        <v>244639906.14</v>
      </c>
      <c r="J38" s="66">
        <f>SUM(J35:J37)</f>
        <v>40228903.160000004</v>
      </c>
      <c r="K38" s="66">
        <f>SUM(I38:J38)</f>
        <v>284868809.3</v>
      </c>
      <c r="L38" s="153">
        <f>(G38-K38)*100/K38</f>
        <v>3.9402202289473283</v>
      </c>
      <c r="M38" s="40"/>
      <c r="N38" s="40"/>
    </row>
    <row r="39" spans="1:18" s="3" customFormat="1" ht="19.5" thickBot="1">
      <c r="A39" s="3" t="s">
        <v>80</v>
      </c>
      <c r="D39" s="72"/>
      <c r="E39" s="156">
        <f>E32+E38</f>
        <v>251832163.27999997</v>
      </c>
      <c r="F39" s="156">
        <f>F32+F38</f>
        <v>47648106.190000005</v>
      </c>
      <c r="G39" s="156">
        <f>G32+G38</f>
        <v>299480269.47</v>
      </c>
      <c r="H39" s="125"/>
      <c r="I39" s="156">
        <f>I32+I38</f>
        <v>245426183.16</v>
      </c>
      <c r="J39" s="156">
        <f>J32+J38</f>
        <v>43829205.18000001</v>
      </c>
      <c r="K39" s="156">
        <f>K32+K38</f>
        <v>289255388.34000003</v>
      </c>
      <c r="L39" s="295">
        <f>(G39-K39)*100/K39</f>
        <v>3.534897375180905</v>
      </c>
      <c r="M39" s="47"/>
      <c r="N39" s="47"/>
      <c r="O39" s="47"/>
      <c r="P39" s="47"/>
      <c r="Q39" s="47"/>
      <c r="R39" s="47"/>
    </row>
    <row r="40" spans="4:12" s="4" customFormat="1" ht="19.5" thickTop="1">
      <c r="D40" s="65"/>
      <c r="K40" s="40"/>
      <c r="L40" s="74"/>
    </row>
    <row r="41" spans="5:11" ht="18.75">
      <c r="E41" s="60">
        <f>E19-E39</f>
        <v>0</v>
      </c>
      <c r="F41" s="60">
        <f>F19-F39</f>
        <v>0</v>
      </c>
      <c r="G41" s="60">
        <f>G19-G39</f>
        <v>0</v>
      </c>
      <c r="H41" s="60"/>
      <c r="I41" s="60"/>
      <c r="J41" s="60"/>
      <c r="K41" s="126">
        <f>K19-K39</f>
        <v>0</v>
      </c>
    </row>
    <row r="42" spans="5:11" ht="18.75">
      <c r="E42" s="60"/>
      <c r="F42" s="60"/>
      <c r="G42" s="60">
        <f>23755083.49+73058183.19</f>
        <v>96813266.67999999</v>
      </c>
      <c r="H42" s="60"/>
      <c r="I42" s="60"/>
      <c r="J42" s="60"/>
      <c r="K42" s="126"/>
    </row>
    <row r="43" ht="18.75">
      <c r="G43" s="296">
        <f>G41-G42</f>
        <v>-96813266.67999999</v>
      </c>
    </row>
    <row r="45" ht="18.75">
      <c r="K45" s="135"/>
    </row>
    <row r="46" ht="18.75">
      <c r="K46" s="135"/>
    </row>
  </sheetData>
  <sheetProtection/>
  <mergeCells count="7">
    <mergeCell ref="L5:L6"/>
    <mergeCell ref="A1:K1"/>
    <mergeCell ref="A2:K2"/>
    <mergeCell ref="A3:K3"/>
    <mergeCell ref="E5:F5"/>
    <mergeCell ref="I5:J5"/>
    <mergeCell ref="D5:D6"/>
  </mergeCells>
  <printOptions/>
  <pageMargins left="0.25" right="0.1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49"/>
  <sheetViews>
    <sheetView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18" sqref="G18"/>
    </sheetView>
  </sheetViews>
  <sheetFormatPr defaultColWidth="11.00390625" defaultRowHeight="15"/>
  <cols>
    <col min="1" max="1" width="3.8515625" style="43" customWidth="1"/>
    <col min="2" max="3" width="2.7109375" style="43" customWidth="1"/>
    <col min="4" max="4" width="21.421875" style="43" bestFit="1" customWidth="1"/>
    <col min="5" max="5" width="7.00390625" style="71" bestFit="1" customWidth="1"/>
    <col min="6" max="6" width="14.421875" style="50" bestFit="1" customWidth="1"/>
    <col min="7" max="7" width="13.140625" style="50" bestFit="1" customWidth="1"/>
    <col min="8" max="8" width="13.140625" style="50" customWidth="1"/>
    <col min="9" max="9" width="5.140625" style="50" customWidth="1"/>
    <col min="10" max="10" width="14.421875" style="50" bestFit="1" customWidth="1"/>
    <col min="11" max="11" width="13.140625" style="50" bestFit="1" customWidth="1"/>
    <col min="12" max="12" width="13.28125" style="91" customWidth="1"/>
    <col min="13" max="13" width="8.8515625" style="71" customWidth="1"/>
    <col min="14" max="14" width="11.00390625" style="43" customWidth="1"/>
    <col min="15" max="15" width="11.421875" style="43" bestFit="1" customWidth="1"/>
    <col min="16" max="16" width="12.57421875" style="43" bestFit="1" customWidth="1"/>
    <col min="17" max="16384" width="11.00390625" style="43" customWidth="1"/>
  </cols>
  <sheetData>
    <row r="1" spans="1:13" ht="18.75">
      <c r="A1" s="321" t="s">
        <v>501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8.75">
      <c r="A2" s="321" t="s">
        <v>81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8.75">
      <c r="A3" s="321" t="s">
        <v>497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ht="18.75">
      <c r="L4" s="97"/>
    </row>
    <row r="5" spans="6:13" ht="18.75">
      <c r="F5" s="332" t="s">
        <v>493</v>
      </c>
      <c r="G5" s="333"/>
      <c r="H5" s="18" t="s">
        <v>58</v>
      </c>
      <c r="I5" s="71"/>
      <c r="J5" s="330" t="s">
        <v>494</v>
      </c>
      <c r="K5" s="330"/>
      <c r="L5" s="18" t="s">
        <v>58</v>
      </c>
      <c r="M5" s="132" t="s">
        <v>306</v>
      </c>
    </row>
    <row r="6" spans="5:13" s="17" customFormat="1" ht="18.75">
      <c r="E6" s="71" t="s">
        <v>55</v>
      </c>
      <c r="F6" s="150" t="s">
        <v>56</v>
      </c>
      <c r="G6" s="150" t="s">
        <v>57</v>
      </c>
      <c r="H6" s="150" t="s">
        <v>101</v>
      </c>
      <c r="I6" s="42"/>
      <c r="J6" s="150" t="s">
        <v>56</v>
      </c>
      <c r="K6" s="150" t="s">
        <v>57</v>
      </c>
      <c r="L6" s="158" t="s">
        <v>101</v>
      </c>
      <c r="M6" s="132" t="s">
        <v>307</v>
      </c>
    </row>
    <row r="7" spans="1:13" s="17" customFormat="1" ht="18.75">
      <c r="A7" s="17" t="s">
        <v>446</v>
      </c>
      <c r="E7" s="71"/>
      <c r="F7" s="132"/>
      <c r="G7" s="132"/>
      <c r="H7" s="132"/>
      <c r="I7" s="71"/>
      <c r="J7" s="130"/>
      <c r="K7" s="130"/>
      <c r="L7" s="130"/>
      <c r="M7" s="132"/>
    </row>
    <row r="8" spans="2:13" s="17" customFormat="1" ht="18.75">
      <c r="B8" s="17" t="s">
        <v>83</v>
      </c>
      <c r="E8" s="71"/>
      <c r="F8" s="150"/>
      <c r="G8" s="150"/>
      <c r="H8" s="150"/>
      <c r="I8" s="42"/>
      <c r="J8" s="150"/>
      <c r="K8" s="150"/>
      <c r="L8" s="150"/>
      <c r="M8" s="132"/>
    </row>
    <row r="9" spans="3:13" ht="18.75">
      <c r="C9" s="43" t="s">
        <v>84</v>
      </c>
      <c r="E9" s="71">
        <v>13</v>
      </c>
      <c r="F9" s="146">
        <f>'หมายเหตุ 2-29'!AM131</f>
        <v>118865416.89</v>
      </c>
      <c r="G9" s="146">
        <f>'หมายเหตุ 2-29'!AN131</f>
        <v>0</v>
      </c>
      <c r="H9" s="146">
        <f>SUM(F9:G9)</f>
        <v>118865416.89</v>
      </c>
      <c r="J9" s="146">
        <f>'หมายเหตุ 2-29'!AP131</f>
        <v>133890939.99999997</v>
      </c>
      <c r="K9" s="146">
        <f>'หมายเหตุ 2-29'!AQ131</f>
        <v>0</v>
      </c>
      <c r="L9" s="130">
        <f>SUM(J9:K9)</f>
        <v>133890939.99999997</v>
      </c>
      <c r="M9" s="153">
        <f>(H9-L9)*100/L9</f>
        <v>-11.222210487132267</v>
      </c>
    </row>
    <row r="10" spans="4:13" s="17" customFormat="1" ht="18.75">
      <c r="D10" s="17" t="s">
        <v>85</v>
      </c>
      <c r="E10" s="71"/>
      <c r="F10" s="130">
        <f>F9</f>
        <v>118865416.89</v>
      </c>
      <c r="G10" s="130">
        <f>G9</f>
        <v>0</v>
      </c>
      <c r="H10" s="146">
        <f>SUM(F10:G10)</f>
        <v>118865416.89</v>
      </c>
      <c r="I10" s="91"/>
      <c r="J10" s="130">
        <f>J9</f>
        <v>133890939.99999997</v>
      </c>
      <c r="K10" s="130">
        <f>K9</f>
        <v>0</v>
      </c>
      <c r="L10" s="130">
        <f>L9</f>
        <v>133890939.99999997</v>
      </c>
      <c r="M10" s="153">
        <f>(H10-L10)*100/L10</f>
        <v>-11.222210487132267</v>
      </c>
    </row>
    <row r="11" spans="2:13" ht="18.75">
      <c r="B11" s="17" t="s">
        <v>86</v>
      </c>
      <c r="F11" s="146"/>
      <c r="G11" s="146"/>
      <c r="H11" s="146"/>
      <c r="J11" s="146"/>
      <c r="K11" s="146"/>
      <c r="L11" s="130"/>
      <c r="M11" s="159"/>
    </row>
    <row r="12" spans="3:13" ht="18.75">
      <c r="C12" s="43" t="s">
        <v>87</v>
      </c>
      <c r="E12" s="71">
        <v>14</v>
      </c>
      <c r="F12" s="146">
        <f>'หมายเหตุ 2-29'!AM136</f>
        <v>0</v>
      </c>
      <c r="G12" s="146">
        <f>'หมายเหตุ 2-29'!AN136</f>
        <v>18894300</v>
      </c>
      <c r="H12" s="146">
        <f aca="true" t="shared" si="0" ref="H12:H18">SUM(F12:G12)</f>
        <v>18894300</v>
      </c>
      <c r="J12" s="146">
        <f>'หมายเหตุ 2-29'!AP136</f>
        <v>0</v>
      </c>
      <c r="K12" s="146">
        <f>'หมายเหตุ 2-29'!AQ136</f>
        <v>20325650</v>
      </c>
      <c r="L12" s="146">
        <f aca="true" t="shared" si="1" ref="L12:L17">SUM(J12:K12)</f>
        <v>20325650</v>
      </c>
      <c r="M12" s="153">
        <f aca="true" t="shared" si="2" ref="M12:M18">(H12-L12)*100/L12</f>
        <v>-7.042087214923016</v>
      </c>
    </row>
    <row r="13" spans="3:13" ht="18.75">
      <c r="C13" s="43" t="s">
        <v>88</v>
      </c>
      <c r="E13" s="71">
        <v>15</v>
      </c>
      <c r="F13" s="146">
        <f>'หมายเหตุ 2-29'!AM145</f>
        <v>0</v>
      </c>
      <c r="G13" s="146">
        <f>'หมายเหตุ 2-29'!AN145</f>
        <v>3987211</v>
      </c>
      <c r="H13" s="146">
        <f t="shared" si="0"/>
        <v>3987211</v>
      </c>
      <c r="J13" s="146">
        <f>'หมายเหตุ 2-29'!AP145</f>
        <v>0</v>
      </c>
      <c r="K13" s="146">
        <f>'หมายเหตุ 2-29'!AQ145</f>
        <v>4904418</v>
      </c>
      <c r="L13" s="146">
        <f t="shared" si="1"/>
        <v>4904418</v>
      </c>
      <c r="M13" s="153">
        <f t="shared" si="2"/>
        <v>-18.701648187409802</v>
      </c>
    </row>
    <row r="14" spans="3:13" ht="18.75">
      <c r="C14" s="43" t="s">
        <v>89</v>
      </c>
      <c r="E14" s="71">
        <v>16</v>
      </c>
      <c r="F14" s="146">
        <f>'หมายเหตุ 2-29'!AM150</f>
        <v>0</v>
      </c>
      <c r="G14" s="146">
        <f>'หมายเหตุ 2-29'!AN150</f>
        <v>11920.75</v>
      </c>
      <c r="H14" s="146">
        <f t="shared" si="0"/>
        <v>11920.75</v>
      </c>
      <c r="J14" s="146">
        <f>'หมายเหตุ 2-29'!AP150</f>
        <v>0</v>
      </c>
      <c r="K14" s="146">
        <f>'หมายเหตุ 2-29'!AQ150</f>
        <v>40008.43</v>
      </c>
      <c r="L14" s="146">
        <f t="shared" si="1"/>
        <v>40008.43</v>
      </c>
      <c r="M14" s="153">
        <f t="shared" si="2"/>
        <v>-70.20440442176812</v>
      </c>
    </row>
    <row r="15" spans="3:13" ht="18.75">
      <c r="C15" s="43" t="s">
        <v>90</v>
      </c>
      <c r="E15" s="71">
        <v>17</v>
      </c>
      <c r="F15" s="146">
        <f>'หมายเหตุ 2-29'!AM155</f>
        <v>0</v>
      </c>
      <c r="G15" s="146">
        <f>'หมายเหตุ 2-29'!AN155</f>
        <v>121449</v>
      </c>
      <c r="H15" s="146">
        <f t="shared" si="0"/>
        <v>121449</v>
      </c>
      <c r="J15" s="146">
        <f>'หมายเหตุ 2-29'!AP155</f>
        <v>0</v>
      </c>
      <c r="K15" s="146">
        <f>'หมายเหตุ 2-29'!AQ155</f>
        <v>133681.2</v>
      </c>
      <c r="L15" s="146">
        <f t="shared" si="1"/>
        <v>133681.2</v>
      </c>
      <c r="M15" s="153">
        <f t="shared" si="2"/>
        <v>-9.15027692749617</v>
      </c>
    </row>
    <row r="16" spans="3:13" ht="18.75">
      <c r="C16" s="43" t="s">
        <v>309</v>
      </c>
      <c r="E16" s="71">
        <v>18</v>
      </c>
      <c r="F16" s="146">
        <f>'หมายเหตุ 2-29'!AM160</f>
        <v>0</v>
      </c>
      <c r="G16" s="146">
        <f>'หมายเหตุ 2-29'!AN160</f>
        <v>10991.6</v>
      </c>
      <c r="H16" s="146">
        <f t="shared" si="0"/>
        <v>10991.6</v>
      </c>
      <c r="J16" s="146">
        <f>'หมายเหตุ 2-29'!AP160</f>
        <v>0</v>
      </c>
      <c r="K16" s="146">
        <f>'หมายเหตุ 2-29'!AQ160</f>
        <v>897248.9</v>
      </c>
      <c r="L16" s="146">
        <f t="shared" si="1"/>
        <v>897248.9</v>
      </c>
      <c r="M16" s="153">
        <f t="shared" si="2"/>
        <v>-98.77496645579616</v>
      </c>
    </row>
    <row r="17" spans="3:15" ht="18.75">
      <c r="C17" s="43" t="s">
        <v>91</v>
      </c>
      <c r="E17" s="71">
        <v>19</v>
      </c>
      <c r="F17" s="146">
        <f>'หมายเหตุ 2-29'!AM167</f>
        <v>0</v>
      </c>
      <c r="G17" s="146">
        <f>'หมายเหตุ 2-29'!AN167</f>
        <v>1600962.129999999</v>
      </c>
      <c r="H17" s="146">
        <f t="shared" si="0"/>
        <v>1600962.129999999</v>
      </c>
      <c r="J17" s="146">
        <f>'หมายเหตุ 2-29'!AP167</f>
        <v>0</v>
      </c>
      <c r="K17" s="146">
        <f>'หมายเหตุ 2-29'!AQ167</f>
        <v>1185990.2399999984</v>
      </c>
      <c r="L17" s="146">
        <f t="shared" si="1"/>
        <v>1185990.2399999984</v>
      </c>
      <c r="M17" s="153">
        <f t="shared" si="2"/>
        <v>34.989486085484245</v>
      </c>
      <c r="O17" s="46"/>
    </row>
    <row r="18" spans="4:13" s="17" customFormat="1" ht="18.75">
      <c r="D18" s="17" t="s">
        <v>92</v>
      </c>
      <c r="E18" s="71"/>
      <c r="F18" s="130">
        <f>SUM(F12:F17)</f>
        <v>0</v>
      </c>
      <c r="G18" s="130">
        <f>SUM(G12:G17)</f>
        <v>24626834.48</v>
      </c>
      <c r="H18" s="146">
        <f t="shared" si="0"/>
        <v>24626834.48</v>
      </c>
      <c r="I18" s="91"/>
      <c r="J18" s="130">
        <f>SUM(J12:J17)</f>
        <v>0</v>
      </c>
      <c r="K18" s="130">
        <f>SUM(K12:K17)</f>
        <v>27486996.769999996</v>
      </c>
      <c r="L18" s="130">
        <f>SUM(L12:L17)</f>
        <v>27486996.769999996</v>
      </c>
      <c r="M18" s="153">
        <f t="shared" si="2"/>
        <v>-10.405510336151561</v>
      </c>
    </row>
    <row r="19" spans="2:13" s="17" customFormat="1" ht="18.75">
      <c r="B19" s="17" t="s">
        <v>443</v>
      </c>
      <c r="E19" s="71"/>
      <c r="F19" s="130"/>
      <c r="G19" s="130"/>
      <c r="H19" s="130"/>
      <c r="I19" s="91"/>
      <c r="J19" s="130"/>
      <c r="K19" s="130"/>
      <c r="L19" s="130"/>
      <c r="M19" s="159"/>
    </row>
    <row r="20" spans="3:13" s="17" customFormat="1" ht="18.75">
      <c r="C20" s="43" t="s">
        <v>444</v>
      </c>
      <c r="E20" s="71"/>
      <c r="F20" s="146">
        <f>'หมายเหตุ 34'!B26</f>
        <v>663221.67</v>
      </c>
      <c r="G20" s="146">
        <f>'หมายเหตุ 34'!C26+1473060</f>
        <v>17787718</v>
      </c>
      <c r="H20" s="130">
        <f>SUM(F20:G20)</f>
        <v>18450939.67</v>
      </c>
      <c r="I20" s="50"/>
      <c r="J20" s="130">
        <v>0</v>
      </c>
      <c r="K20" s="146">
        <v>1426750</v>
      </c>
      <c r="L20" s="130">
        <f>SUM(J20:K20)</f>
        <v>1426750</v>
      </c>
      <c r="M20" s="153">
        <f>(H20-L20)*100/L20</f>
        <v>1193.2146255475734</v>
      </c>
    </row>
    <row r="21" spans="1:13" s="17" customFormat="1" ht="19.5" thickBot="1">
      <c r="A21" s="17" t="s">
        <v>445</v>
      </c>
      <c r="E21" s="71"/>
      <c r="F21" s="160">
        <f>+F10+F18+F20</f>
        <v>119528638.56</v>
      </c>
      <c r="G21" s="160">
        <f>+G10+G18+G20</f>
        <v>42414552.480000004</v>
      </c>
      <c r="H21" s="160">
        <f>+H10+H18+H20</f>
        <v>161943191.04000002</v>
      </c>
      <c r="I21" s="91"/>
      <c r="J21" s="160">
        <f>+J10+J18+J20</f>
        <v>133890939.99999997</v>
      </c>
      <c r="K21" s="160">
        <f>+K10+K18+K20</f>
        <v>28913746.769999996</v>
      </c>
      <c r="L21" s="160">
        <f>+L10+L18+L20</f>
        <v>162804686.76999998</v>
      </c>
      <c r="M21" s="295">
        <f>(H21-L21)*100/L21</f>
        <v>-0.5291590476243632</v>
      </c>
    </row>
    <row r="22" ht="19.5" thickTop="1"/>
    <row r="23" spans="1:13" s="17" customFormat="1" ht="18.75">
      <c r="A23" s="17" t="s">
        <v>447</v>
      </c>
      <c r="E23" s="71"/>
      <c r="F23" s="50"/>
      <c r="G23" s="50"/>
      <c r="H23" s="50"/>
      <c r="I23" s="50"/>
      <c r="J23" s="50"/>
      <c r="K23" s="50"/>
      <c r="L23" s="91"/>
      <c r="M23" s="71"/>
    </row>
    <row r="24" spans="2:13" s="17" customFormat="1" ht="18.75">
      <c r="B24" s="17" t="s">
        <v>448</v>
      </c>
      <c r="E24" s="71"/>
      <c r="F24" s="50"/>
      <c r="G24" s="50"/>
      <c r="H24" s="50"/>
      <c r="I24" s="50"/>
      <c r="J24" s="50"/>
      <c r="K24" s="50"/>
      <c r="L24" s="91"/>
      <c r="M24" s="71"/>
    </row>
    <row r="25" spans="3:13" ht="18.75">
      <c r="C25" s="43" t="s">
        <v>94</v>
      </c>
      <c r="E25" s="71">
        <v>20</v>
      </c>
      <c r="F25" s="146">
        <f>'หมายเหตุ 2-29'!AM197</f>
        <v>67375045.75</v>
      </c>
      <c r="G25" s="146">
        <f>'หมายเหตุ 2-29'!AN197</f>
        <v>7441813.5</v>
      </c>
      <c r="H25" s="146">
        <f>SUM(F25:G25)</f>
        <v>74816859.25</v>
      </c>
      <c r="J25" s="146">
        <f>'หมายเหตุ 2-29'!AP197</f>
        <v>73597476.86999999</v>
      </c>
      <c r="K25" s="146">
        <f>'หมายเหตุ 2-29'!AQ197</f>
        <v>7039415</v>
      </c>
      <c r="L25" s="146">
        <f>SUM(J25:K25)</f>
        <v>80636891.86999999</v>
      </c>
      <c r="M25" s="153">
        <f aca="true" t="shared" si="3" ref="M25:M33">(H25-L25)*100/L25</f>
        <v>-7.2175805453697865</v>
      </c>
    </row>
    <row r="26" spans="3:13" ht="18.75">
      <c r="C26" s="43" t="s">
        <v>310</v>
      </c>
      <c r="E26" s="71">
        <v>21</v>
      </c>
      <c r="F26" s="146">
        <f>'หมายเหตุ 2-29'!AM216</f>
        <v>832571</v>
      </c>
      <c r="G26" s="146">
        <f>'หมายเหตุ 2-29'!AN216</f>
        <v>0</v>
      </c>
      <c r="H26" s="146">
        <f aca="true" t="shared" si="4" ref="H26:H33">SUM(F26:G26)</f>
        <v>832571</v>
      </c>
      <c r="J26" s="146">
        <f>'หมายเหตุ 2-29'!AP216</f>
        <v>852377</v>
      </c>
      <c r="K26" s="146">
        <f>'หมายเหตุ 2-29'!AQ216</f>
        <v>0</v>
      </c>
      <c r="L26" s="146">
        <f aca="true" t="shared" si="5" ref="L26:L32">SUM(J26:K26)</f>
        <v>852377</v>
      </c>
      <c r="M26" s="153">
        <f t="shared" si="3"/>
        <v>-2.323619712873529</v>
      </c>
    </row>
    <row r="27" spans="3:13" ht="18.75">
      <c r="C27" s="43" t="s">
        <v>311</v>
      </c>
      <c r="E27" s="71">
        <v>22</v>
      </c>
      <c r="F27" s="146">
        <f>'หมายเหตุ 2-29'!AM224</f>
        <v>2623537.55</v>
      </c>
      <c r="G27" s="146">
        <f>'หมายเหตุ 2-29'!AN224</f>
        <v>888200.8</v>
      </c>
      <c r="H27" s="146">
        <f t="shared" si="4"/>
        <v>3511738.3499999996</v>
      </c>
      <c r="J27" s="146">
        <f>'หมายเหตุ 2-29'!AP224</f>
        <v>2506730.9</v>
      </c>
      <c r="K27" s="146">
        <f>'หมายเหตุ 2-29'!AQ224</f>
        <v>1178450</v>
      </c>
      <c r="L27" s="146">
        <f t="shared" si="5"/>
        <v>3685180.9</v>
      </c>
      <c r="M27" s="153">
        <f t="shared" si="3"/>
        <v>-4.706486729050406</v>
      </c>
    </row>
    <row r="28" spans="3:13" ht="18.75">
      <c r="C28" s="43" t="s">
        <v>312</v>
      </c>
      <c r="E28" s="71">
        <v>23</v>
      </c>
      <c r="F28" s="146">
        <f>'หมายเหตุ 2-29'!AM234</f>
        <v>905852.5</v>
      </c>
      <c r="G28" s="146">
        <f>'หมายเหตุ 2-29'!AN234</f>
        <v>464557.04000000004</v>
      </c>
      <c r="H28" s="146">
        <f t="shared" si="4"/>
        <v>1370409.54</v>
      </c>
      <c r="J28" s="146">
        <f>'หมายเหตุ 2-29'!AP234</f>
        <v>806984</v>
      </c>
      <c r="K28" s="146">
        <f>'หมายเหตุ 2-29'!AQ234</f>
        <v>1305029.6</v>
      </c>
      <c r="L28" s="146">
        <f t="shared" si="5"/>
        <v>2112013.6</v>
      </c>
      <c r="M28" s="153">
        <f t="shared" si="3"/>
        <v>-35.113602488165796</v>
      </c>
    </row>
    <row r="29" spans="3:13" ht="18.75">
      <c r="C29" s="43" t="s">
        <v>313</v>
      </c>
      <c r="E29" s="71">
        <v>24</v>
      </c>
      <c r="F29" s="146">
        <f>'หมายเหตุ 2-29'!AM257</f>
        <v>15436053.819999998</v>
      </c>
      <c r="G29" s="146">
        <f>'หมายเหตุ 2-29'!AN257</f>
        <v>12001323.85</v>
      </c>
      <c r="H29" s="146">
        <f t="shared" si="4"/>
        <v>27437377.669999998</v>
      </c>
      <c r="J29" s="146">
        <f>'หมายเหตุ 2-29'!AP257</f>
        <v>13586033.38</v>
      </c>
      <c r="K29" s="146">
        <f>'หมายเหตุ 2-29'!AQ257</f>
        <v>6312388.76</v>
      </c>
      <c r="L29" s="146">
        <f t="shared" si="5"/>
        <v>19898422.14</v>
      </c>
      <c r="M29" s="153">
        <f t="shared" si="3"/>
        <v>37.887202698575365</v>
      </c>
    </row>
    <row r="30" spans="3:13" ht="18.75">
      <c r="C30" s="43" t="s">
        <v>96</v>
      </c>
      <c r="E30" s="71">
        <v>25</v>
      </c>
      <c r="F30" s="146">
        <f>'หมายเหตุ 2-29'!AM265</f>
        <v>3742627.9</v>
      </c>
      <c r="G30" s="146">
        <f>'หมายเหตุ 2-29'!AN265</f>
        <v>620836.6</v>
      </c>
      <c r="H30" s="146">
        <f t="shared" si="4"/>
        <v>4363464.5</v>
      </c>
      <c r="J30" s="146">
        <f>'หมายเหตุ 2-29'!AP265</f>
        <v>2779493.85</v>
      </c>
      <c r="K30" s="146">
        <f>'หมายเหตุ 2-29'!AQ265</f>
        <v>2047836.51</v>
      </c>
      <c r="L30" s="146">
        <f t="shared" si="5"/>
        <v>4827330.36</v>
      </c>
      <c r="M30" s="153">
        <f t="shared" si="3"/>
        <v>-9.609159212380904</v>
      </c>
    </row>
    <row r="31" spans="3:13" ht="18.75">
      <c r="C31" s="43" t="s">
        <v>97</v>
      </c>
      <c r="E31" s="71">
        <v>26</v>
      </c>
      <c r="F31" s="146">
        <f>'หมายเหตุ 2-29'!AM272</f>
        <v>20454231.59</v>
      </c>
      <c r="G31" s="146">
        <f>'หมายเหตุ 2-29'!AN272</f>
        <v>2636664.66</v>
      </c>
      <c r="H31" s="146">
        <f t="shared" si="4"/>
        <v>23090896.25</v>
      </c>
      <c r="J31" s="146">
        <f>'หมายเหตุ 2-29'!AP272</f>
        <v>17744793.05</v>
      </c>
      <c r="K31" s="146">
        <f>'หมายเหตุ 2-29'!AQ272</f>
        <v>2264771.81</v>
      </c>
      <c r="L31" s="146">
        <f t="shared" si="5"/>
        <v>20009564.86</v>
      </c>
      <c r="M31" s="153">
        <f t="shared" si="3"/>
        <v>15.399292346230466</v>
      </c>
    </row>
    <row r="32" spans="3:13" ht="18.75">
      <c r="C32" s="43" t="s">
        <v>98</v>
      </c>
      <c r="E32" s="71">
        <v>27</v>
      </c>
      <c r="F32" s="146">
        <f>'หมายเหตุ 2-29'!AM281</f>
        <v>0</v>
      </c>
      <c r="G32" s="146">
        <f>'หมายเหตุ 2-29'!AN281</f>
        <v>613058.0100000016</v>
      </c>
      <c r="H32" s="146">
        <f t="shared" si="4"/>
        <v>613058.0100000016</v>
      </c>
      <c r="J32" s="146">
        <f>'หมายเหตุ 2-29'!AP281</f>
        <v>0</v>
      </c>
      <c r="K32" s="146">
        <f>'หมายเหตุ 2-29'!AQ281</f>
        <v>2443460.3999999985</v>
      </c>
      <c r="L32" s="146">
        <f t="shared" si="5"/>
        <v>2443460.3999999985</v>
      </c>
      <c r="M32" s="153">
        <f t="shared" si="3"/>
        <v>-74.91025391694492</v>
      </c>
    </row>
    <row r="33" spans="4:13" s="17" customFormat="1" ht="18.75">
      <c r="D33" s="17" t="s">
        <v>314</v>
      </c>
      <c r="E33" s="71"/>
      <c r="F33" s="130">
        <f>SUM(F25:F32)</f>
        <v>111369920.11</v>
      </c>
      <c r="G33" s="130">
        <f>SUM(G25:G32)</f>
        <v>24666454.46</v>
      </c>
      <c r="H33" s="146">
        <f t="shared" si="4"/>
        <v>136036374.57</v>
      </c>
      <c r="I33" s="91"/>
      <c r="J33" s="130">
        <f>SUM(J25:J32)</f>
        <v>111873889.04999998</v>
      </c>
      <c r="K33" s="130">
        <f>SUM(K25:K32)</f>
        <v>22591352.08</v>
      </c>
      <c r="L33" s="130">
        <f>SUM(L25:L32)</f>
        <v>134465241.13</v>
      </c>
      <c r="M33" s="153">
        <f t="shared" si="3"/>
        <v>1.1684309095768752</v>
      </c>
    </row>
    <row r="34" spans="2:13" s="17" customFormat="1" ht="18.75">
      <c r="B34" s="17" t="s">
        <v>449</v>
      </c>
      <c r="E34" s="71"/>
      <c r="F34" s="130"/>
      <c r="G34" s="130"/>
      <c r="H34" s="130"/>
      <c r="I34" s="91"/>
      <c r="J34" s="130"/>
      <c r="K34" s="130"/>
      <c r="L34" s="130"/>
      <c r="M34" s="18"/>
    </row>
    <row r="35" spans="3:13" s="17" customFormat="1" ht="18.75">
      <c r="C35" s="43" t="s">
        <v>450</v>
      </c>
      <c r="E35" s="71"/>
      <c r="F35" s="130">
        <v>0</v>
      </c>
      <c r="G35" s="146">
        <v>15609660</v>
      </c>
      <c r="H35" s="146">
        <f>SUM(F35:G35)</f>
        <v>15609660</v>
      </c>
      <c r="I35" s="50"/>
      <c r="J35" s="130">
        <v>0</v>
      </c>
      <c r="K35" s="146">
        <v>4600202.15</v>
      </c>
      <c r="L35" s="130">
        <f>SUM(J35:K35)</f>
        <v>4600202.15</v>
      </c>
      <c r="M35" s="153">
        <f>(H35-L35)*100/L35</f>
        <v>239.32552290120552</v>
      </c>
    </row>
    <row r="36" spans="1:13" s="17" customFormat="1" ht="18.75">
      <c r="A36" s="17" t="s">
        <v>451</v>
      </c>
      <c r="E36" s="71"/>
      <c r="F36" s="130">
        <f>F33+F35</f>
        <v>111369920.11</v>
      </c>
      <c r="G36" s="130">
        <f>G33+G35</f>
        <v>40276114.46</v>
      </c>
      <c r="H36" s="130">
        <f>H33+H35</f>
        <v>151646034.57</v>
      </c>
      <c r="I36" s="91"/>
      <c r="J36" s="130">
        <f>J33+J35</f>
        <v>111873889.04999998</v>
      </c>
      <c r="K36" s="130">
        <f>K33+K35</f>
        <v>27191554.229999997</v>
      </c>
      <c r="L36" s="130">
        <f>L33+L35</f>
        <v>139065443.28</v>
      </c>
      <c r="M36" s="153">
        <f>(H36-L36)*100/L36</f>
        <v>9.046525860971599</v>
      </c>
    </row>
    <row r="37" spans="1:13" ht="18.75">
      <c r="A37" s="43" t="s">
        <v>452</v>
      </c>
      <c r="F37" s="146">
        <f>F21-F36</f>
        <v>8158718.450000003</v>
      </c>
      <c r="G37" s="146">
        <f>G21-G36</f>
        <v>2138438.0200000033</v>
      </c>
      <c r="H37" s="146">
        <f>H21-H36</f>
        <v>10297156.470000029</v>
      </c>
      <c r="J37" s="146">
        <f>J21-J36</f>
        <v>22017050.949999988</v>
      </c>
      <c r="K37" s="146">
        <f>K21-K36</f>
        <v>1722192.539999999</v>
      </c>
      <c r="L37" s="146">
        <f>L21-L36</f>
        <v>23739243.48999998</v>
      </c>
      <c r="M37" s="153">
        <f>(H37-L37)*100/L37</f>
        <v>-56.62390642592446</v>
      </c>
    </row>
    <row r="38" spans="1:13" ht="18.75">
      <c r="A38" s="43" t="s">
        <v>453</v>
      </c>
      <c r="E38" s="71">
        <v>28</v>
      </c>
      <c r="F38" s="146">
        <f>'หมายเหตุ 2-29'!AM291</f>
        <v>0</v>
      </c>
      <c r="G38" s="146">
        <f>'หมายเหตุ 2-29'!AN291</f>
        <v>0</v>
      </c>
      <c r="H38" s="146">
        <f>'หมายเหตุ 2-29'!AP291</f>
        <v>0</v>
      </c>
      <c r="J38" s="146">
        <f>'หมายเหตุ 2-29'!AP291</f>
        <v>0</v>
      </c>
      <c r="K38" s="146">
        <f>'หมายเหตุ 2-29'!AQ291</f>
        <v>0</v>
      </c>
      <c r="L38" s="146">
        <f>'หมายเหตุ 2-29'!AR291</f>
        <v>0</v>
      </c>
      <c r="M38" s="18"/>
    </row>
    <row r="39" spans="1:13" s="17" customFormat="1" ht="18.75">
      <c r="A39" s="17" t="s">
        <v>454</v>
      </c>
      <c r="F39" s="18">
        <f>F37+F38</f>
        <v>8158718.450000003</v>
      </c>
      <c r="G39" s="18">
        <f>G37+G38</f>
        <v>2138438.0200000033</v>
      </c>
      <c r="H39" s="18">
        <f>H37+H38</f>
        <v>10297156.470000029</v>
      </c>
      <c r="I39" s="97"/>
      <c r="J39" s="18">
        <f>J37+J38</f>
        <v>22017050.949999988</v>
      </c>
      <c r="K39" s="18">
        <f>K37+K38</f>
        <v>1722192.539999999</v>
      </c>
      <c r="L39" s="18">
        <f>L37+L38</f>
        <v>23739243.48999998</v>
      </c>
      <c r="M39" s="153">
        <f>(H39-L39)*100/L39</f>
        <v>-56.62390642592446</v>
      </c>
    </row>
    <row r="40" spans="1:13" ht="18.75">
      <c r="A40" s="43" t="s">
        <v>215</v>
      </c>
      <c r="E40" s="71">
        <v>29</v>
      </c>
      <c r="F40" s="107">
        <f>'หมายเหตุ 2-29'!AM301</f>
        <v>0</v>
      </c>
      <c r="G40" s="107">
        <f>'หมายเหตุ 2-29'!AN301</f>
        <v>0</v>
      </c>
      <c r="H40" s="107">
        <f>SUM(F40:G40)</f>
        <v>0</v>
      </c>
      <c r="I40" s="93"/>
      <c r="J40" s="107">
        <f>'หมายเหตุ 2-29'!AP301</f>
        <v>0</v>
      </c>
      <c r="K40" s="107">
        <f>'หมายเหตุ 2-29'!AQ301</f>
        <v>0</v>
      </c>
      <c r="L40" s="107">
        <f>'หมายเหตุ 2-29'!AR301</f>
        <v>0</v>
      </c>
      <c r="M40" s="18"/>
    </row>
    <row r="41" spans="1:16" ht="18.75">
      <c r="A41" s="43" t="s">
        <v>320</v>
      </c>
      <c r="E41" s="17"/>
      <c r="F41" s="107"/>
      <c r="G41" s="107"/>
      <c r="H41" s="107"/>
      <c r="I41" s="93"/>
      <c r="J41" s="107"/>
      <c r="K41" s="107"/>
      <c r="L41" s="130"/>
      <c r="M41" s="18"/>
      <c r="P41" s="50"/>
    </row>
    <row r="42" spans="1:16" ht="18.75">
      <c r="A42" s="43" t="s">
        <v>315</v>
      </c>
      <c r="E42" s="17"/>
      <c r="F42" s="94"/>
      <c r="G42" s="94"/>
      <c r="H42" s="94"/>
      <c r="I42" s="45"/>
      <c r="J42" s="94"/>
      <c r="K42" s="94"/>
      <c r="L42" s="130"/>
      <c r="M42" s="18"/>
      <c r="P42" s="50"/>
    </row>
    <row r="43" spans="1:16" s="17" customFormat="1" ht="19.5" thickBot="1">
      <c r="A43" s="17" t="s">
        <v>316</v>
      </c>
      <c r="E43" s="71"/>
      <c r="F43" s="160">
        <f>+F39+F42-F41</f>
        <v>8158718.450000003</v>
      </c>
      <c r="G43" s="160">
        <f>+G39+G42-G41</f>
        <v>2138438.0200000033</v>
      </c>
      <c r="H43" s="160">
        <f>+H39+H42</f>
        <v>10297156.470000029</v>
      </c>
      <c r="I43" s="91"/>
      <c r="J43" s="160">
        <f>+J39+J42-J41+J40</f>
        <v>22017050.949999988</v>
      </c>
      <c r="K43" s="160">
        <f>+K39+K42-K41+K40</f>
        <v>1722192.539999999</v>
      </c>
      <c r="L43" s="160">
        <f>+L39+L42-L41+L40</f>
        <v>23739243.48999998</v>
      </c>
      <c r="M43" s="295">
        <f>(H43-L43)*100/L43</f>
        <v>-56.62390642592446</v>
      </c>
      <c r="P43" s="91"/>
    </row>
    <row r="44" ht="19.5" thickTop="1">
      <c r="P44" s="2"/>
    </row>
    <row r="48" ht="18.75">
      <c r="L48" s="292"/>
    </row>
    <row r="49" ht="18.75">
      <c r="L49" s="50"/>
    </row>
  </sheetData>
  <sheetProtection/>
  <mergeCells count="5">
    <mergeCell ref="A1:M1"/>
    <mergeCell ref="A2:M2"/>
    <mergeCell ref="A3:M3"/>
    <mergeCell ref="F5:G5"/>
    <mergeCell ref="J5:K5"/>
  </mergeCells>
  <printOptions/>
  <pageMargins left="0.25" right="0.39" top="0.53" bottom="0.53" header="0.3" footer="0.3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40"/>
  <sheetViews>
    <sheetView view="pageBreakPreview" zoomScaleSheetLayoutView="100" zoomScalePageLayoutView="0" workbookViewId="0" topLeftCell="A22">
      <selection activeCell="J36" sqref="J36"/>
    </sheetView>
  </sheetViews>
  <sheetFormatPr defaultColWidth="9.140625" defaultRowHeight="15"/>
  <cols>
    <col min="1" max="1" width="10.421875" style="21" customWidth="1"/>
    <col min="2" max="2" width="3.7109375" style="21" customWidth="1"/>
    <col min="3" max="3" width="4.00390625" style="21" customWidth="1"/>
    <col min="4" max="9" width="9.00390625" style="21" customWidth="1"/>
    <col min="10" max="10" width="16.28125" style="21" customWidth="1"/>
    <col min="11" max="13" width="1.7109375" style="21" customWidth="1"/>
    <col min="14" max="16384" width="9.00390625" style="21" customWidth="1"/>
  </cols>
  <sheetData>
    <row r="1" spans="1:13" ht="18.75">
      <c r="A1" s="323" t="s">
        <v>501</v>
      </c>
      <c r="B1" s="323"/>
      <c r="C1" s="323"/>
      <c r="D1" s="323"/>
      <c r="E1" s="323"/>
      <c r="F1" s="323"/>
      <c r="G1" s="323"/>
      <c r="H1" s="323"/>
      <c r="I1" s="323"/>
      <c r="J1" s="323"/>
      <c r="K1" s="138"/>
      <c r="L1" s="138"/>
      <c r="M1" s="138"/>
    </row>
    <row r="2" spans="1:10" ht="18.75">
      <c r="A2" s="324" t="s">
        <v>563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8.75">
      <c r="A3" s="325" t="s">
        <v>497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7" ht="18.75">
      <c r="A4" s="136"/>
      <c r="B4" s="16"/>
      <c r="C4" s="16"/>
      <c r="D4" s="15"/>
      <c r="E4" s="33"/>
      <c r="F4" s="6"/>
      <c r="G4" s="6"/>
    </row>
    <row r="5" spans="1:7" ht="18.75">
      <c r="A5" s="326" t="s">
        <v>163</v>
      </c>
      <c r="B5" s="327"/>
      <c r="C5" s="327"/>
      <c r="D5" s="327"/>
      <c r="E5" s="327"/>
      <c r="F5" s="6"/>
      <c r="G5" s="6"/>
    </row>
    <row r="6" spans="2:4" ht="18.75">
      <c r="B6" s="10" t="s">
        <v>164</v>
      </c>
      <c r="C6" s="7"/>
      <c r="D6" s="7"/>
    </row>
    <row r="7" spans="1:7" ht="18.75">
      <c r="A7" s="9"/>
      <c r="C7" s="10" t="s">
        <v>165</v>
      </c>
      <c r="D7" s="8"/>
      <c r="E7" s="1"/>
      <c r="F7" s="1"/>
      <c r="G7" s="4"/>
    </row>
    <row r="8" spans="1:7" ht="18.75">
      <c r="A8" s="9"/>
      <c r="B8" s="10" t="s">
        <v>166</v>
      </c>
      <c r="D8" s="8"/>
      <c r="E8" s="1"/>
      <c r="F8" s="1"/>
      <c r="G8" s="4"/>
    </row>
    <row r="9" spans="2:7" ht="18.75">
      <c r="B9" s="9" t="s">
        <v>167</v>
      </c>
      <c r="C9" s="11"/>
      <c r="D9" s="8"/>
      <c r="E9" s="1"/>
      <c r="F9" s="1"/>
      <c r="G9" s="4"/>
    </row>
    <row r="10" spans="1:7" ht="18.75">
      <c r="A10" s="9"/>
      <c r="C10" s="9" t="s">
        <v>168</v>
      </c>
      <c r="D10" s="8"/>
      <c r="E10" s="1"/>
      <c r="F10" s="1"/>
      <c r="G10" s="4"/>
    </row>
    <row r="11" spans="1:7" ht="18.75">
      <c r="A11" s="9"/>
      <c r="B11" s="9" t="s">
        <v>169</v>
      </c>
      <c r="C11" s="11"/>
      <c r="D11" s="8"/>
      <c r="E11" s="1"/>
      <c r="F11" s="1"/>
      <c r="G11" s="4"/>
    </row>
    <row r="12" spans="1:7" ht="18.75">
      <c r="A12" s="9"/>
      <c r="B12" s="9" t="s">
        <v>170</v>
      </c>
      <c r="C12" s="11"/>
      <c r="D12" s="8"/>
      <c r="E12" s="1"/>
      <c r="F12" s="1"/>
      <c r="G12" s="4"/>
    </row>
    <row r="13" spans="1:7" ht="18.75">
      <c r="A13" s="9"/>
      <c r="B13" s="9" t="s">
        <v>171</v>
      </c>
      <c r="C13" s="11"/>
      <c r="D13" s="8"/>
      <c r="E13" s="1"/>
      <c r="F13" s="1"/>
      <c r="G13" s="4"/>
    </row>
    <row r="14" spans="2:7" ht="18.75">
      <c r="B14" s="9" t="s">
        <v>172</v>
      </c>
      <c r="C14" s="11"/>
      <c r="D14" s="8"/>
      <c r="E14" s="1"/>
      <c r="F14" s="1"/>
      <c r="G14" s="4"/>
    </row>
    <row r="15" spans="1:7" ht="18.75">
      <c r="A15" s="9"/>
      <c r="C15" s="12" t="s">
        <v>173</v>
      </c>
      <c r="D15" s="8"/>
      <c r="E15" s="1"/>
      <c r="F15" s="1"/>
      <c r="G15" s="4"/>
    </row>
    <row r="16" spans="1:7" ht="18.75">
      <c r="A16" s="9"/>
      <c r="C16" s="12" t="s">
        <v>174</v>
      </c>
      <c r="D16" s="8"/>
      <c r="E16" s="1"/>
      <c r="F16" s="1"/>
      <c r="G16" s="4"/>
    </row>
    <row r="17" spans="1:7" ht="18.75">
      <c r="A17" s="9"/>
      <c r="C17" s="12" t="s">
        <v>175</v>
      </c>
      <c r="D17" s="8"/>
      <c r="E17" s="1"/>
      <c r="F17" s="1"/>
      <c r="G17" s="4"/>
    </row>
    <row r="18" spans="1:7" ht="18.75">
      <c r="A18" s="9"/>
      <c r="C18" s="11" t="s">
        <v>176</v>
      </c>
      <c r="D18" s="8"/>
      <c r="E18" s="1"/>
      <c r="F18" s="1"/>
      <c r="G18" s="4"/>
    </row>
    <row r="19" spans="1:7" ht="18.75">
      <c r="A19" s="9"/>
      <c r="C19" s="11" t="s">
        <v>177</v>
      </c>
      <c r="D19" s="8"/>
      <c r="E19" s="1"/>
      <c r="F19" s="1"/>
      <c r="G19" s="4"/>
    </row>
    <row r="20" spans="2:7" ht="18.75">
      <c r="B20" s="9" t="s">
        <v>178</v>
      </c>
      <c r="C20" s="11"/>
      <c r="D20" s="8"/>
      <c r="E20" s="1"/>
      <c r="F20" s="5"/>
      <c r="G20" s="4"/>
    </row>
    <row r="21" spans="1:7" ht="18.75">
      <c r="A21" s="9"/>
      <c r="C21" s="9" t="s">
        <v>179</v>
      </c>
      <c r="D21" s="8"/>
      <c r="E21" s="1"/>
      <c r="F21" s="1"/>
      <c r="G21" s="4"/>
    </row>
    <row r="22" spans="2:7" ht="18.75">
      <c r="B22" s="9" t="s">
        <v>180</v>
      </c>
      <c r="C22" s="11"/>
      <c r="D22" s="8"/>
      <c r="E22" s="1"/>
      <c r="F22" s="1"/>
      <c r="G22" s="4"/>
    </row>
    <row r="23" spans="1:7" ht="18.75">
      <c r="A23" s="9"/>
      <c r="C23" s="9" t="s">
        <v>181</v>
      </c>
      <c r="D23" s="8"/>
      <c r="E23" s="1"/>
      <c r="F23" s="1"/>
      <c r="G23" s="4"/>
    </row>
    <row r="24" spans="2:7" ht="18.75">
      <c r="B24" s="9" t="s">
        <v>182</v>
      </c>
      <c r="C24" s="11"/>
      <c r="D24" s="8"/>
      <c r="E24" s="1"/>
      <c r="F24" s="1"/>
      <c r="G24" s="4"/>
    </row>
    <row r="25" spans="1:7" ht="18.75">
      <c r="A25" s="9"/>
      <c r="C25" s="13" t="s">
        <v>183</v>
      </c>
      <c r="D25" s="8"/>
      <c r="E25" s="1"/>
      <c r="F25" s="1"/>
      <c r="G25" s="4"/>
    </row>
    <row r="26" spans="1:7" ht="18.75">
      <c r="A26" s="9"/>
      <c r="C26" s="13" t="s">
        <v>184</v>
      </c>
      <c r="D26" s="8"/>
      <c r="E26" s="1"/>
      <c r="F26" s="1"/>
      <c r="G26" s="4"/>
    </row>
    <row r="27" spans="1:7" ht="18.75">
      <c r="A27" s="9"/>
      <c r="B27" s="13" t="s">
        <v>185</v>
      </c>
      <c r="C27" s="14"/>
      <c r="D27" s="8"/>
      <c r="E27" s="1"/>
      <c r="F27" s="1"/>
      <c r="G27" s="4"/>
    </row>
    <row r="28" spans="1:7" ht="18.75">
      <c r="A28" s="9"/>
      <c r="C28" s="13" t="s">
        <v>186</v>
      </c>
      <c r="D28" s="8"/>
      <c r="E28" s="1"/>
      <c r="F28" s="1"/>
      <c r="G28" s="4"/>
    </row>
    <row r="29" spans="1:7" ht="18.75">
      <c r="A29" s="9"/>
      <c r="D29" s="13" t="s">
        <v>187</v>
      </c>
      <c r="E29" s="1"/>
      <c r="F29" s="1"/>
      <c r="G29" s="4"/>
    </row>
    <row r="30" spans="1:7" ht="18.75">
      <c r="A30" s="9"/>
      <c r="C30" s="14"/>
      <c r="D30" s="13" t="s">
        <v>188</v>
      </c>
      <c r="E30" s="1"/>
      <c r="F30" s="1"/>
      <c r="G30" s="4"/>
    </row>
    <row r="31" spans="1:7" ht="18.75">
      <c r="A31" s="9"/>
      <c r="C31" s="14"/>
      <c r="D31" s="13" t="s">
        <v>189</v>
      </c>
      <c r="E31" s="1"/>
      <c r="F31" s="1"/>
      <c r="G31" s="4"/>
    </row>
    <row r="32" spans="2:7" ht="18.75">
      <c r="B32" s="9" t="s">
        <v>190</v>
      </c>
      <c r="C32" s="14"/>
      <c r="D32" s="8"/>
      <c r="E32" s="1"/>
      <c r="F32" s="1"/>
      <c r="G32" s="4"/>
    </row>
    <row r="33" spans="1:7" ht="18.75">
      <c r="A33" s="9"/>
      <c r="C33" s="13" t="s">
        <v>191</v>
      </c>
      <c r="D33" s="8"/>
      <c r="E33" s="1"/>
      <c r="F33" s="1"/>
      <c r="G33" s="4"/>
    </row>
    <row r="34" spans="1:7" ht="18.75">
      <c r="A34" s="9"/>
      <c r="C34" s="13"/>
      <c r="D34" s="8"/>
      <c r="E34" s="1"/>
      <c r="F34" s="1"/>
      <c r="G34" s="4"/>
    </row>
    <row r="35" spans="2:7" ht="18.75">
      <c r="B35" s="9" t="s">
        <v>192</v>
      </c>
      <c r="C35" s="14"/>
      <c r="D35" s="8"/>
      <c r="E35" s="1"/>
      <c r="F35" s="1"/>
      <c r="G35" s="4"/>
    </row>
    <row r="36" spans="1:7" ht="18.75">
      <c r="A36" s="9"/>
      <c r="C36" s="13" t="s">
        <v>193</v>
      </c>
      <c r="D36" s="8"/>
      <c r="E36" s="1"/>
      <c r="F36" s="1"/>
      <c r="G36" s="4"/>
    </row>
    <row r="37" spans="1:7" ht="18.75">
      <c r="A37" s="9"/>
      <c r="C37" s="13" t="s">
        <v>194</v>
      </c>
      <c r="D37" s="8"/>
      <c r="E37" s="1"/>
      <c r="F37" s="1"/>
      <c r="G37" s="4"/>
    </row>
    <row r="38" spans="1:8" ht="18.75">
      <c r="A38" s="9"/>
      <c r="B38" s="13"/>
      <c r="D38" s="122" t="s">
        <v>565</v>
      </c>
      <c r="E38" s="123"/>
      <c r="F38" s="123"/>
      <c r="G38" s="115"/>
      <c r="H38" s="124" t="s">
        <v>570</v>
      </c>
    </row>
    <row r="39" spans="1:8" ht="18.75">
      <c r="A39" s="9"/>
      <c r="B39" s="13"/>
      <c r="D39" s="122" t="s">
        <v>566</v>
      </c>
      <c r="E39" s="123"/>
      <c r="F39" s="123"/>
      <c r="G39" s="44"/>
      <c r="H39" s="124" t="s">
        <v>567</v>
      </c>
    </row>
    <row r="40" spans="1:8" ht="18.75">
      <c r="A40" s="9"/>
      <c r="B40" s="13"/>
      <c r="D40" s="122" t="s">
        <v>568</v>
      </c>
      <c r="E40" s="123"/>
      <c r="F40" s="123"/>
      <c r="G40" s="115"/>
      <c r="H40" s="124" t="s">
        <v>569</v>
      </c>
    </row>
  </sheetData>
  <sheetProtection/>
  <mergeCells count="4">
    <mergeCell ref="A3:J3"/>
    <mergeCell ref="A2:J2"/>
    <mergeCell ref="A1:J1"/>
    <mergeCell ref="A5:E5"/>
  </mergeCells>
  <printOptions/>
  <pageMargins left="0.2755905511811024" right="0.15748031496062992" top="0.3937007874015748" bottom="0.2362204724409449" header="0.31496062992125984" footer="0.1574803149606299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hp_P6000</dc:creator>
  <cp:keywords/>
  <dc:description/>
  <cp:lastModifiedBy>จุรีรัตน์   บทเรศ</cp:lastModifiedBy>
  <cp:lastPrinted>2018-10-22T04:18:05Z</cp:lastPrinted>
  <dcterms:created xsi:type="dcterms:W3CDTF">2014-02-06T05:30:32Z</dcterms:created>
  <dcterms:modified xsi:type="dcterms:W3CDTF">2018-10-22T04:51:41Z</dcterms:modified>
  <cp:category/>
  <cp:version/>
  <cp:contentType/>
  <cp:contentStatus/>
</cp:coreProperties>
</file>